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440" windowHeight="11760" tabRatio="841" activeTab="3"/>
  </bookViews>
  <sheets>
    <sheet name="MCC CF" sheetId="1" r:id="rId1"/>
    <sheet name="MCC CF (2)" sheetId="2" r:id="rId2"/>
    <sheet name="MCC CF (3)" sheetId="3" r:id="rId3"/>
    <sheet name="Modified" sheetId="4" r:id="rId4"/>
  </sheets>
  <externalReferences>
    <externalReference r:id="rId7"/>
    <externalReference r:id="rId8"/>
    <externalReference r:id="rId9"/>
    <externalReference r:id="rId10"/>
  </externalReferences>
  <definedNames>
    <definedName name="ComFee_Loan1">'[1]Assumptions'!$F$157</definedName>
    <definedName name="DOLLAR">'[2]Codes'!$F$6</definedName>
    <definedName name="euro">'[3]cc'!#REF!</definedName>
    <definedName name="FEFee_Loan1">'[1]Assumptions'!$E$157</definedName>
    <definedName name="First_period">'[1]Indices'!$D$60</definedName>
    <definedName name="Grace_Loan1">'[1]Assumptions'!$K$158</definedName>
    <definedName name="Loan1_arr">'[1]Assumptions'!$C$157</definedName>
    <definedName name="LOCAL">'[3]cc'!#REF!</definedName>
    <definedName name="Per_pa">'[1]Assumptions'!$L$11</definedName>
    <definedName name="_xlnm.Print_Area" localSheetId="0">'MCC CF'!$A$1:$AF$135</definedName>
    <definedName name="_xlnm.Print_Area" localSheetId="2">'MCC CF (3)'!$A$1:$AF$135</definedName>
    <definedName name="Tabchange">'[3]cc'!#REF!</definedName>
    <definedName name="Tabfour">'[3]bb'!$A$4:$B$58</definedName>
    <definedName name="Tabinco">'[3]cc'!#REF!</definedName>
    <definedName name="Tabmonnaie">'[3]cc'!#REF!</definedName>
    <definedName name="Tabmonnaie2">'[3]cc'!#REF!</definedName>
    <definedName name="Tabpays">'[3]cc'!#REF!</definedName>
    <definedName name="Xo">'[4]Assumptions'!$K$101</definedName>
  </definedNames>
  <calcPr fullCalcOnLoad="1"/>
</workbook>
</file>

<file path=xl/comments1.xml><?xml version="1.0" encoding="utf-8"?>
<comments xmlns="http://schemas.openxmlformats.org/spreadsheetml/2006/main">
  <authors>
    <author>gaullsb</author>
  </authors>
  <commentList>
    <comment ref="S132" authorId="0">
      <text>
        <r>
          <rPr>
            <b/>
            <sz val="8"/>
            <rFont val="Tahoma"/>
            <family val="0"/>
          </rPr>
          <t>gaullsb: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The formula from the previous cell is not copies across</t>
        </r>
      </text>
    </comment>
  </commentList>
</comments>
</file>

<file path=xl/sharedStrings.xml><?xml version="1.0" encoding="utf-8"?>
<sst xmlns="http://schemas.openxmlformats.org/spreadsheetml/2006/main" count="692" uniqueCount="155">
  <si>
    <t>Total</t>
  </si>
  <si>
    <t>Project Management Costs</t>
  </si>
  <si>
    <t>Revenues</t>
  </si>
  <si>
    <t>Equity (Sponsors)</t>
  </si>
  <si>
    <t>Year</t>
  </si>
  <si>
    <t>Renewals</t>
  </si>
  <si>
    <t>Financial Sources</t>
  </si>
  <si>
    <t>Quarter</t>
  </si>
  <si>
    <t>Grand</t>
  </si>
  <si>
    <t>Var (Op)</t>
  </si>
  <si>
    <t>Fix (Op)</t>
  </si>
  <si>
    <t>Dividends payable to shareholders</t>
  </si>
  <si>
    <t>Tax</t>
  </si>
  <si>
    <t xml:space="preserve">Cashflow for Equity IRR </t>
  </si>
  <si>
    <t>DSCR Average</t>
  </si>
  <si>
    <t>Cashflows Operation Period</t>
  </si>
  <si>
    <t xml:space="preserve">Zarqa PS Expansion </t>
  </si>
  <si>
    <t>New Pipeline from Zarqa to Samra</t>
  </si>
  <si>
    <t>Rehabilitation existing 1200</t>
  </si>
  <si>
    <t>Samra WWTP Expansion</t>
  </si>
  <si>
    <t>Expenses</t>
  </si>
  <si>
    <t>(MUSD)</t>
  </si>
  <si>
    <t>CAPEX</t>
  </si>
  <si>
    <t>OPEX</t>
  </si>
  <si>
    <t xml:space="preserve">Fix F (Cap)  </t>
  </si>
  <si>
    <t>Fix I (Cap)</t>
  </si>
  <si>
    <t xml:space="preserve">Fix (Cap) </t>
  </si>
  <si>
    <t>Fix R (Cap)</t>
  </si>
  <si>
    <t>Financial Uses (CAPEX)</t>
  </si>
  <si>
    <t>MUSD</t>
  </si>
  <si>
    <t>Assumptions</t>
  </si>
  <si>
    <t>years</t>
  </si>
  <si>
    <t>Loan Repayment Period</t>
  </si>
  <si>
    <t>Renewals % of CAPEX</t>
  </si>
  <si>
    <t>Senior Loan (Lenders)</t>
  </si>
  <si>
    <t>SAMRA EXPANSION PROJECT - Financial Model for Millennium Challenges Corp. Funds</t>
  </si>
  <si>
    <t>Sponsors IRR after Tax</t>
  </si>
  <si>
    <t>Financial Charges</t>
  </si>
  <si>
    <t>Lending Interest Rate</t>
  </si>
  <si>
    <t>Grant Amount</t>
  </si>
  <si>
    <t>Construction Period</t>
  </si>
  <si>
    <t>Years</t>
  </si>
  <si>
    <t>Operation Period</t>
  </si>
  <si>
    <t>Grant (MWI/MCC)</t>
  </si>
  <si>
    <t>Financing</t>
  </si>
  <si>
    <t>Equity to Debt Ratio</t>
  </si>
  <si>
    <t>Sponsors' Equity</t>
  </si>
  <si>
    <t xml:space="preserve">Payment Profile </t>
  </si>
  <si>
    <t>Disbursement Profile</t>
  </si>
  <si>
    <t>Total CAPEX</t>
  </si>
  <si>
    <t>Cashflow Operation Phase</t>
  </si>
  <si>
    <t>Cashflow Construction Phase</t>
  </si>
  <si>
    <t>Senior Loan Repayment</t>
  </si>
  <si>
    <t>Senior Loan Interests</t>
  </si>
  <si>
    <t>MUSD / Year</t>
  </si>
  <si>
    <t>Capital Expenditure</t>
  </si>
  <si>
    <t>Fixed Operation Expenditure</t>
  </si>
  <si>
    <t>Variable Operation Expenditure</t>
  </si>
  <si>
    <t>Fixed OPEX</t>
  </si>
  <si>
    <t>Variable OPEX</t>
  </si>
  <si>
    <t>Cashflow</t>
  </si>
  <si>
    <t>Cashflow 2 (after senior debt)</t>
  </si>
  <si>
    <t>Cashflow 3 (after taxes)</t>
  </si>
  <si>
    <t>Payback Period (years)</t>
  </si>
  <si>
    <t>Tax Rate</t>
  </si>
  <si>
    <t>Balance</t>
  </si>
  <si>
    <t>DSCR Margin</t>
  </si>
  <si>
    <t>Sponsors' IRR</t>
  </si>
  <si>
    <t>Loan Disbursement Profile</t>
  </si>
  <si>
    <t>Basic Senior Loan Amount</t>
  </si>
  <si>
    <t>Financial Interests during Construction</t>
  </si>
  <si>
    <t>Fils / m3</t>
  </si>
  <si>
    <t>Treatment Charges</t>
  </si>
  <si>
    <t xml:space="preserve">Sponsors' Dividends </t>
  </si>
  <si>
    <t xml:space="preserve">Loan Repayments + Interests </t>
  </si>
  <si>
    <t>General Inflation</t>
  </si>
  <si>
    <t>Total Project Cost (during Construction)</t>
  </si>
  <si>
    <t>Payback Period</t>
  </si>
  <si>
    <t>Average Debt Service Ratio</t>
  </si>
  <si>
    <t>O&amp;M Margin</t>
  </si>
  <si>
    <t>of OPEX</t>
  </si>
  <si>
    <t>KG BOD/day</t>
  </si>
  <si>
    <t>m3/day</t>
  </si>
  <si>
    <t>MUSD/Year</t>
  </si>
  <si>
    <t xml:space="preserve">Variable Fees Unit Price (Q) </t>
  </si>
  <si>
    <t xml:space="preserve">Variable Fees Unit Price (BOD) </t>
  </si>
  <si>
    <t>Flow &amp; Load Profiles</t>
  </si>
  <si>
    <t>Key Financial Figures</t>
  </si>
  <si>
    <t xml:space="preserve">Net Present Values Discount Rate (Operation Period)  </t>
  </si>
  <si>
    <t>NPV Treatment Charges</t>
  </si>
  <si>
    <t xml:space="preserve">NPV Sponsors' Dividends </t>
  </si>
  <si>
    <t xml:space="preserve">NPV Loan Repayments + Interests </t>
  </si>
  <si>
    <t>Total Senior Loan Amount (including Construction Fin. Interests)</t>
  </si>
  <si>
    <t>Renewals Profile</t>
  </si>
  <si>
    <t xml:space="preserve">Renewals </t>
  </si>
  <si>
    <t>OPEX + Taxes</t>
  </si>
  <si>
    <t>NPV OPEX + Taxes</t>
  </si>
  <si>
    <t>Total Unit Price OPEX + Renewals (without Inflation)</t>
  </si>
  <si>
    <t>Cashflow 1 (after OPEX + Renewals)</t>
  </si>
  <si>
    <t>Flow Capacity for Expansion</t>
  </si>
  <si>
    <t>Load Capacity for Expansion</t>
  </si>
  <si>
    <t xml:space="preserve">Total Figures (Operation Period) </t>
  </si>
  <si>
    <t>Lenders</t>
  </si>
  <si>
    <t>Sponsors</t>
  </si>
  <si>
    <t>Operation</t>
  </si>
  <si>
    <t xml:space="preserve">Fils/m3 </t>
  </si>
  <si>
    <t>Fils/m3</t>
  </si>
  <si>
    <t>Fils/KG DBO5</t>
  </si>
  <si>
    <t xml:space="preserve">Treatment Tariff </t>
  </si>
  <si>
    <t xml:space="preserve"> </t>
  </si>
  <si>
    <t>Zarqa PS Expansion/or New Station</t>
  </si>
  <si>
    <t>Quarter -- SHOULD BE CONCESSION YEAR</t>
  </si>
  <si>
    <t>Renewals % of CAPEX             (MAINTENANCE)</t>
  </si>
  <si>
    <t>Renewals  MAINTENANCE</t>
  </si>
  <si>
    <t>Cash flow to Debt</t>
  </si>
  <si>
    <t>Disbursements</t>
  </si>
  <si>
    <t>Interest</t>
  </si>
  <si>
    <t>Principal</t>
  </si>
  <si>
    <t>Total flows to Debt</t>
  </si>
  <si>
    <t>IRR</t>
  </si>
  <si>
    <t>Average DSCR</t>
  </si>
  <si>
    <t>Year  -- SHOULD BE OPERATING YEAR</t>
  </si>
  <si>
    <t xml:space="preserve">SAMRASludge to Energy PROJECT - Financial Model </t>
  </si>
  <si>
    <t>Inceneration facilities</t>
  </si>
  <si>
    <t>Line form plant to inceneration</t>
  </si>
  <si>
    <t>Sludge quantities</t>
  </si>
  <si>
    <t>Sludge quantities after expansion</t>
  </si>
  <si>
    <t xml:space="preserve">Fils/kg  </t>
  </si>
  <si>
    <t xml:space="preserve">Variable Fees Unit Price </t>
  </si>
  <si>
    <t xml:space="preserve">Fils/KG </t>
  </si>
  <si>
    <t>Fils/kg</t>
  </si>
  <si>
    <t>Fils / kg</t>
  </si>
  <si>
    <t>?????</t>
  </si>
  <si>
    <t>????</t>
  </si>
  <si>
    <t>Jordan</t>
  </si>
  <si>
    <t>between 10-20</t>
  </si>
  <si>
    <t>kg/d</t>
  </si>
  <si>
    <t>kg/day</t>
  </si>
  <si>
    <t>Charges</t>
  </si>
  <si>
    <t>industrial</t>
  </si>
  <si>
    <t>should be between 8 - 10 years</t>
  </si>
  <si>
    <t>not less than 15%</t>
  </si>
  <si>
    <t>best more than 1.2</t>
  </si>
  <si>
    <t>transission line</t>
  </si>
  <si>
    <t>the inceneration</t>
  </si>
  <si>
    <t>Selling assumptions</t>
  </si>
  <si>
    <t>4 high calories - 7 low calories</t>
  </si>
  <si>
    <t>Sludge to fuel ratio (tons)</t>
  </si>
  <si>
    <t>Electricity selling rate</t>
  </si>
  <si>
    <t>fils/kW.hr</t>
  </si>
  <si>
    <t>kW.hr/ton</t>
  </si>
  <si>
    <t>Efficiency Factor</t>
  </si>
  <si>
    <t>Sludge to electricity</t>
  </si>
  <si>
    <t>fils/kg</t>
  </si>
  <si>
    <t xml:space="preserve">Tariff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</si>
</sst>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%"/>
    <numFmt numFmtId="166" formatCode="0.0"/>
    <numFmt numFmtId="167" formatCode="#,##0.0"/>
    <numFmt numFmtId="168" formatCode="0_);\(0\)"/>
    <numFmt numFmtId="169" formatCode="#,##0.00000"/>
    <numFmt numFmtId="170" formatCode="#,##0.0_);\(#,##0.0\)"/>
    <numFmt numFmtId="171" formatCode="#,##0.000_);\(#,##0.000\)"/>
    <numFmt numFmtId="172" formatCode="0_);[Red]\(0\)"/>
    <numFmt numFmtId="173" formatCode="#,##0.0000_);\(#,##0.0000\)"/>
    <numFmt numFmtId="174" formatCode="#,##0.00000_);\(#,##0.00000\)"/>
    <numFmt numFmtId="175" formatCode="#,##0.0000_-;#,##0.0000\-"/>
    <numFmt numFmtId="176" formatCode="#,##0.00000_-;#,##0.00000\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  <font>
      <b/>
      <u val="single"/>
      <sz val="16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u val="single"/>
      <sz val="18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14"/>
      <name val="Century Gothic"/>
      <family val="2"/>
    </font>
    <font>
      <sz val="14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96">
    <xf numFmtId="0" fontId="0" fillId="0" borderId="0" xfId="0" applyAlignment="1">
      <alignment/>
    </xf>
    <xf numFmtId="37" fontId="4" fillId="33" borderId="0" xfId="0" applyNumberFormat="1" applyFont="1" applyFill="1" applyAlignment="1">
      <alignment horizontal="right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Fill="1" applyAlignment="1">
      <alignment horizontal="right"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9" fillId="33" borderId="0" xfId="0" applyNumberFormat="1" applyFont="1" applyFill="1" applyAlignment="1">
      <alignment horizontal="left"/>
    </xf>
    <xf numFmtId="37" fontId="3" fillId="33" borderId="0" xfId="0" applyNumberFormat="1" applyFont="1" applyFill="1" applyAlignment="1">
      <alignment horizontal="left"/>
    </xf>
    <xf numFmtId="37" fontId="3" fillId="33" borderId="0" xfId="0" applyNumberFormat="1" applyFont="1" applyFill="1" applyAlignment="1">
      <alignment horizontal="right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4" fillId="33" borderId="10" xfId="0" applyNumberFormat="1" applyFont="1" applyFill="1" applyBorder="1" applyAlignment="1">
      <alignment horizontal="right"/>
    </xf>
    <xf numFmtId="37" fontId="5" fillId="0" borderId="10" xfId="0" applyNumberFormat="1" applyFont="1" applyBorder="1" applyAlignment="1">
      <alignment/>
    </xf>
    <xf numFmtId="37" fontId="5" fillId="0" borderId="11" xfId="0" applyNumberFormat="1" applyFont="1" applyBorder="1" applyAlignment="1">
      <alignment horizontal="center"/>
    </xf>
    <xf numFmtId="37" fontId="5" fillId="0" borderId="12" xfId="0" applyNumberFormat="1" applyFont="1" applyBorder="1" applyAlignment="1">
      <alignment horizontal="center"/>
    </xf>
    <xf numFmtId="37" fontId="5" fillId="0" borderId="13" xfId="0" applyNumberFormat="1" applyFont="1" applyBorder="1" applyAlignment="1">
      <alignment horizontal="center"/>
    </xf>
    <xf numFmtId="37" fontId="5" fillId="33" borderId="14" xfId="0" applyNumberFormat="1" applyFont="1" applyFill="1" applyBorder="1" applyAlignment="1">
      <alignment horizontal="right"/>
    </xf>
    <xf numFmtId="37" fontId="5" fillId="0" borderId="14" xfId="0" applyNumberFormat="1" applyFont="1" applyBorder="1" applyAlignment="1">
      <alignment/>
    </xf>
    <xf numFmtId="37" fontId="5" fillId="0" borderId="15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37" fontId="4" fillId="33" borderId="15" xfId="0" applyNumberFormat="1" applyFont="1" applyFill="1" applyBorder="1" applyAlignment="1">
      <alignment/>
    </xf>
    <xf numFmtId="37" fontId="4" fillId="33" borderId="0" xfId="0" applyNumberFormat="1" applyFont="1" applyFill="1" applyBorder="1" applyAlignment="1">
      <alignment/>
    </xf>
    <xf numFmtId="37" fontId="4" fillId="33" borderId="16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5" fillId="0" borderId="0" xfId="0" applyNumberFormat="1" applyFont="1" applyAlignment="1">
      <alignment horizontal="center"/>
    </xf>
    <xf numFmtId="37" fontId="5" fillId="0" borderId="17" xfId="0" applyNumberFormat="1" applyFont="1" applyBorder="1" applyAlignment="1">
      <alignment/>
    </xf>
    <xf numFmtId="37" fontId="5" fillId="0" borderId="18" xfId="0" applyNumberFormat="1" applyFont="1" applyBorder="1" applyAlignment="1">
      <alignment horizontal="center"/>
    </xf>
    <xf numFmtId="37" fontId="5" fillId="0" borderId="19" xfId="0" applyNumberFormat="1" applyFont="1" applyBorder="1" applyAlignment="1">
      <alignment horizontal="center"/>
    </xf>
    <xf numFmtId="37" fontId="5" fillId="0" borderId="20" xfId="0" applyNumberFormat="1" applyFont="1" applyBorder="1" applyAlignment="1">
      <alignment horizontal="center"/>
    </xf>
    <xf numFmtId="37" fontId="4" fillId="33" borderId="18" xfId="0" applyNumberFormat="1" applyFont="1" applyFill="1" applyBorder="1" applyAlignment="1">
      <alignment/>
    </xf>
    <xf numFmtId="37" fontId="4" fillId="33" borderId="19" xfId="0" applyNumberFormat="1" applyFont="1" applyFill="1" applyBorder="1" applyAlignment="1">
      <alignment/>
    </xf>
    <xf numFmtId="37" fontId="4" fillId="33" borderId="20" xfId="0" applyNumberFormat="1" applyFont="1" applyFill="1" applyBorder="1" applyAlignment="1">
      <alignment/>
    </xf>
    <xf numFmtId="37" fontId="4" fillId="0" borderId="19" xfId="0" applyNumberFormat="1" applyFont="1" applyFill="1" applyBorder="1" applyAlignment="1">
      <alignment/>
    </xf>
    <xf numFmtId="37" fontId="5" fillId="33" borderId="10" xfId="0" applyNumberFormat="1" applyFont="1" applyFill="1" applyBorder="1" applyAlignment="1">
      <alignment horizontal="right"/>
    </xf>
    <xf numFmtId="37" fontId="6" fillId="0" borderId="0" xfId="0" applyNumberFormat="1" applyFont="1" applyAlignment="1">
      <alignment horizontal="center"/>
    </xf>
    <xf numFmtId="37" fontId="3" fillId="33" borderId="10" xfId="0" applyNumberFormat="1" applyFont="1" applyFill="1" applyBorder="1" applyAlignment="1">
      <alignment horizontal="right"/>
    </xf>
    <xf numFmtId="37" fontId="8" fillId="0" borderId="10" xfId="0" applyNumberFormat="1" applyFont="1" applyBorder="1" applyAlignment="1">
      <alignment/>
    </xf>
    <xf numFmtId="37" fontId="3" fillId="0" borderId="0" xfId="0" applyNumberFormat="1" applyFont="1" applyAlignment="1">
      <alignment horizontal="center"/>
    </xf>
    <xf numFmtId="37" fontId="4" fillId="0" borderId="14" xfId="0" applyNumberFormat="1" applyFont="1" applyBorder="1" applyAlignment="1">
      <alignment horizontal="left" indent="2"/>
    </xf>
    <xf numFmtId="37" fontId="3" fillId="33" borderId="14" xfId="0" applyNumberFormat="1" applyFont="1" applyFill="1" applyBorder="1" applyAlignment="1">
      <alignment horizontal="right"/>
    </xf>
    <xf numFmtId="37" fontId="3" fillId="0" borderId="14" xfId="0" applyNumberFormat="1" applyFont="1" applyBorder="1" applyAlignment="1">
      <alignment horizontal="left" indent="1"/>
    </xf>
    <xf numFmtId="37" fontId="4" fillId="33" borderId="14" xfId="0" applyNumberFormat="1" applyFont="1" applyFill="1" applyBorder="1" applyAlignment="1">
      <alignment horizontal="right"/>
    </xf>
    <xf numFmtId="37" fontId="4" fillId="0" borderId="14" xfId="0" applyNumberFormat="1" applyFont="1" applyFill="1" applyBorder="1" applyAlignment="1">
      <alignment horizontal="left" indent="2"/>
    </xf>
    <xf numFmtId="37" fontId="6" fillId="0" borderId="14" xfId="0" applyNumberFormat="1" applyFont="1" applyBorder="1" applyAlignment="1">
      <alignment/>
    </xf>
    <xf numFmtId="37" fontId="7" fillId="33" borderId="10" xfId="0" applyNumberFormat="1" applyFont="1" applyFill="1" applyBorder="1" applyAlignment="1">
      <alignment horizontal="right"/>
    </xf>
    <xf numFmtId="37" fontId="8" fillId="0" borderId="10" xfId="0" applyNumberFormat="1" applyFont="1" applyBorder="1" applyAlignment="1">
      <alignment horizontal="left"/>
    </xf>
    <xf numFmtId="37" fontId="7" fillId="0" borderId="0" xfId="0" applyNumberFormat="1" applyFont="1" applyAlignment="1">
      <alignment/>
    </xf>
    <xf numFmtId="37" fontId="4" fillId="0" borderId="14" xfId="0" applyNumberFormat="1" applyFont="1" applyBorder="1" applyAlignment="1">
      <alignment horizontal="left" indent="3"/>
    </xf>
    <xf numFmtId="37" fontId="4" fillId="33" borderId="14" xfId="57" applyNumberFormat="1" applyFont="1" applyFill="1" applyBorder="1" applyAlignment="1">
      <alignment horizontal="right"/>
    </xf>
    <xf numFmtId="37" fontId="6" fillId="0" borderId="14" xfId="0" applyNumberFormat="1" applyFont="1" applyBorder="1" applyAlignment="1">
      <alignment horizontal="left"/>
    </xf>
    <xf numFmtId="37" fontId="4" fillId="0" borderId="0" xfId="0" applyNumberFormat="1" applyFont="1" applyFill="1" applyAlignment="1">
      <alignment/>
    </xf>
    <xf numFmtId="37" fontId="4" fillId="33" borderId="17" xfId="0" applyNumberFormat="1" applyFont="1" applyFill="1" applyBorder="1" applyAlignment="1">
      <alignment horizontal="right"/>
    </xf>
    <xf numFmtId="37" fontId="5" fillId="0" borderId="17" xfId="0" applyNumberFormat="1" applyFont="1" applyBorder="1" applyAlignment="1">
      <alignment horizontal="left" indent="1"/>
    </xf>
    <xf numFmtId="37" fontId="5" fillId="0" borderId="18" xfId="0" applyNumberFormat="1" applyFont="1" applyBorder="1" applyAlignment="1">
      <alignment/>
    </xf>
    <xf numFmtId="37" fontId="5" fillId="0" borderId="19" xfId="0" applyNumberFormat="1" applyFont="1" applyBorder="1" applyAlignment="1">
      <alignment/>
    </xf>
    <xf numFmtId="37" fontId="5" fillId="0" borderId="20" xfId="0" applyNumberFormat="1" applyFont="1" applyBorder="1" applyAlignment="1">
      <alignment/>
    </xf>
    <xf numFmtId="37" fontId="5" fillId="0" borderId="14" xfId="0" applyNumberFormat="1" applyFont="1" applyBorder="1" applyAlignment="1">
      <alignment horizontal="left"/>
    </xf>
    <xf numFmtId="37" fontId="4" fillId="33" borderId="11" xfId="0" applyNumberFormat="1" applyFont="1" applyFill="1" applyBorder="1" applyAlignment="1">
      <alignment/>
    </xf>
    <xf numFmtId="37" fontId="4" fillId="33" borderId="12" xfId="0" applyNumberFormat="1" applyFont="1" applyFill="1" applyBorder="1" applyAlignment="1">
      <alignment/>
    </xf>
    <xf numFmtId="37" fontId="4" fillId="33" borderId="13" xfId="0" applyNumberFormat="1" applyFont="1" applyFill="1" applyBorder="1" applyAlignment="1">
      <alignment/>
    </xf>
    <xf numFmtId="37" fontId="5" fillId="0" borderId="0" xfId="0" applyNumberFormat="1" applyFont="1" applyBorder="1" applyAlignment="1">
      <alignment/>
    </xf>
    <xf numFmtId="37" fontId="4" fillId="0" borderId="14" xfId="0" applyNumberFormat="1" applyFont="1" applyBorder="1" applyAlignment="1">
      <alignment horizontal="left"/>
    </xf>
    <xf numFmtId="37" fontId="4" fillId="0" borderId="14" xfId="0" applyNumberFormat="1" applyFont="1" applyBorder="1" applyAlignment="1">
      <alignment horizontal="left" indent="1"/>
    </xf>
    <xf numFmtId="37" fontId="4" fillId="0" borderId="17" xfId="0" applyNumberFormat="1" applyFont="1" applyBorder="1" applyAlignment="1">
      <alignment horizontal="left" indent="1"/>
    </xf>
    <xf numFmtId="37" fontId="4" fillId="33" borderId="12" xfId="0" applyNumberFormat="1" applyFont="1" applyFill="1" applyBorder="1" applyAlignment="1">
      <alignment horizontal="right"/>
    </xf>
    <xf numFmtId="37" fontId="5" fillId="0" borderId="11" xfId="0" applyNumberFormat="1" applyFont="1" applyBorder="1" applyAlignment="1">
      <alignment horizontal="left"/>
    </xf>
    <xf numFmtId="37" fontId="4" fillId="0" borderId="12" xfId="0" applyNumberFormat="1" applyFont="1" applyFill="1" applyBorder="1" applyAlignment="1">
      <alignment/>
    </xf>
    <xf numFmtId="37" fontId="5" fillId="33" borderId="0" xfId="0" applyNumberFormat="1" applyFont="1" applyFill="1" applyBorder="1" applyAlignment="1">
      <alignment horizontal="right"/>
    </xf>
    <xf numFmtId="37" fontId="5" fillId="0" borderId="15" xfId="0" applyNumberFormat="1" applyFont="1" applyBorder="1" applyAlignment="1">
      <alignment horizontal="left"/>
    </xf>
    <xf numFmtId="37" fontId="5" fillId="33" borderId="15" xfId="0" applyNumberFormat="1" applyFont="1" applyFill="1" applyBorder="1" applyAlignment="1">
      <alignment/>
    </xf>
    <xf numFmtId="37" fontId="5" fillId="33" borderId="0" xfId="0" applyNumberFormat="1" applyFont="1" applyFill="1" applyBorder="1" applyAlignment="1">
      <alignment/>
    </xf>
    <xf numFmtId="37" fontId="5" fillId="33" borderId="16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Alignment="1">
      <alignment/>
    </xf>
    <xf numFmtId="37" fontId="5" fillId="33" borderId="17" xfId="0" applyNumberFormat="1" applyFont="1" applyFill="1" applyBorder="1" applyAlignment="1">
      <alignment horizontal="right"/>
    </xf>
    <xf numFmtId="37" fontId="5" fillId="33" borderId="19" xfId="0" applyNumberFormat="1" applyFont="1" applyFill="1" applyBorder="1" applyAlignment="1">
      <alignment horizontal="right"/>
    </xf>
    <xf numFmtId="37" fontId="5" fillId="0" borderId="18" xfId="0" applyNumberFormat="1" applyFont="1" applyFill="1" applyBorder="1" applyAlignment="1">
      <alignment horizontal="left"/>
    </xf>
    <xf numFmtId="37" fontId="4" fillId="33" borderId="0" xfId="0" applyNumberFormat="1" applyFont="1" applyFill="1" applyBorder="1" applyAlignment="1">
      <alignment horizontal="right" indent="3"/>
    </xf>
    <xf numFmtId="37" fontId="5" fillId="0" borderId="0" xfId="0" applyNumberFormat="1" applyFont="1" applyFill="1" applyBorder="1" applyAlignment="1">
      <alignment horizontal="right"/>
    </xf>
    <xf numFmtId="37" fontId="5" fillId="33" borderId="0" xfId="0" applyNumberFormat="1" applyFont="1" applyFill="1" applyBorder="1" applyAlignment="1">
      <alignment horizontal="right" indent="2"/>
    </xf>
    <xf numFmtId="37" fontId="5" fillId="33" borderId="0" xfId="0" applyNumberFormat="1" applyFont="1" applyFill="1" applyBorder="1" applyAlignment="1">
      <alignment horizontal="right" indent="1"/>
    </xf>
    <xf numFmtId="37" fontId="4" fillId="0" borderId="0" xfId="0" applyNumberFormat="1" applyFont="1" applyFill="1" applyBorder="1" applyAlignment="1">
      <alignment horizontal="right"/>
    </xf>
    <xf numFmtId="9" fontId="5" fillId="33" borderId="14" xfId="57" applyFont="1" applyFill="1" applyBorder="1" applyAlignment="1">
      <alignment horizontal="right"/>
    </xf>
    <xf numFmtId="9" fontId="5" fillId="33" borderId="0" xfId="57" applyFont="1" applyFill="1" applyBorder="1" applyAlignment="1">
      <alignment horizontal="right"/>
    </xf>
    <xf numFmtId="9" fontId="5" fillId="0" borderId="15" xfId="57" applyFont="1" applyBorder="1" applyAlignment="1">
      <alignment horizontal="left"/>
    </xf>
    <xf numFmtId="9" fontId="5" fillId="33" borderId="15" xfId="57" applyFont="1" applyFill="1" applyBorder="1" applyAlignment="1">
      <alignment/>
    </xf>
    <xf numFmtId="9" fontId="5" fillId="33" borderId="0" xfId="57" applyFont="1" applyFill="1" applyBorder="1" applyAlignment="1">
      <alignment/>
    </xf>
    <xf numFmtId="9" fontId="5" fillId="33" borderId="16" xfId="57" applyFont="1" applyFill="1" applyBorder="1" applyAlignment="1">
      <alignment/>
    </xf>
    <xf numFmtId="9" fontId="5" fillId="0" borderId="0" xfId="57" applyFont="1" applyAlignment="1">
      <alignment/>
    </xf>
    <xf numFmtId="168" fontId="5" fillId="33" borderId="11" xfId="0" applyNumberFormat="1" applyFont="1" applyFill="1" applyBorder="1" applyAlignment="1">
      <alignment/>
    </xf>
    <xf numFmtId="168" fontId="5" fillId="33" borderId="12" xfId="0" applyNumberFormat="1" applyFont="1" applyFill="1" applyBorder="1" applyAlignment="1">
      <alignment/>
    </xf>
    <xf numFmtId="168" fontId="5" fillId="33" borderId="13" xfId="0" applyNumberFormat="1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5" fillId="0" borderId="15" xfId="0" applyNumberFormat="1" applyFont="1" applyFill="1" applyBorder="1" applyAlignment="1">
      <alignment/>
    </xf>
    <xf numFmtId="171" fontId="4" fillId="33" borderId="15" xfId="0" applyNumberFormat="1" applyFont="1" applyFill="1" applyBorder="1" applyAlignment="1">
      <alignment/>
    </xf>
    <xf numFmtId="171" fontId="4" fillId="33" borderId="0" xfId="0" applyNumberFormat="1" applyFont="1" applyFill="1" applyBorder="1" applyAlignment="1">
      <alignment/>
    </xf>
    <xf numFmtId="171" fontId="4" fillId="33" borderId="16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34" borderId="15" xfId="0" applyNumberFormat="1" applyFont="1" applyFill="1" applyBorder="1" applyAlignment="1">
      <alignment/>
    </xf>
    <xf numFmtId="171" fontId="4" fillId="34" borderId="0" xfId="0" applyNumberFormat="1" applyFont="1" applyFill="1" applyBorder="1" applyAlignment="1">
      <alignment/>
    </xf>
    <xf numFmtId="171" fontId="4" fillId="34" borderId="16" xfId="0" applyNumberFormat="1" applyFont="1" applyFill="1" applyBorder="1" applyAlignment="1">
      <alignment/>
    </xf>
    <xf numFmtId="171" fontId="3" fillId="34" borderId="15" xfId="0" applyNumberFormat="1" applyFont="1" applyFill="1" applyBorder="1" applyAlignment="1">
      <alignment horizontal="right"/>
    </xf>
    <xf numFmtId="171" fontId="3" fillId="34" borderId="0" xfId="0" applyNumberFormat="1" applyFont="1" applyFill="1" applyBorder="1" applyAlignment="1">
      <alignment horizontal="right"/>
    </xf>
    <xf numFmtId="171" fontId="3" fillId="34" borderId="16" xfId="0" applyNumberFormat="1" applyFont="1" applyFill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1" fontId="3" fillId="34" borderId="15" xfId="0" applyNumberFormat="1" applyFont="1" applyFill="1" applyBorder="1" applyAlignment="1">
      <alignment/>
    </xf>
    <xf numFmtId="171" fontId="3" fillId="34" borderId="0" xfId="0" applyNumberFormat="1" applyFont="1" applyFill="1" applyBorder="1" applyAlignment="1">
      <alignment/>
    </xf>
    <xf numFmtId="171" fontId="3" fillId="34" borderId="16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7" fillId="33" borderId="11" xfId="0" applyNumberFormat="1" applyFont="1" applyFill="1" applyBorder="1" applyAlignment="1">
      <alignment/>
    </xf>
    <xf numFmtId="171" fontId="7" fillId="33" borderId="12" xfId="0" applyNumberFormat="1" applyFont="1" applyFill="1" applyBorder="1" applyAlignment="1">
      <alignment/>
    </xf>
    <xf numFmtId="171" fontId="7" fillId="33" borderId="13" xfId="0" applyNumberFormat="1" applyFont="1" applyFill="1" applyBorder="1" applyAlignment="1">
      <alignment/>
    </xf>
    <xf numFmtId="171" fontId="3" fillId="33" borderId="15" xfId="0" applyNumberFormat="1" applyFont="1" applyFill="1" applyBorder="1" applyAlignment="1">
      <alignment/>
    </xf>
    <xf numFmtId="171" fontId="3" fillId="33" borderId="0" xfId="0" applyNumberFormat="1" applyFont="1" applyFill="1" applyBorder="1" applyAlignment="1">
      <alignment/>
    </xf>
    <xf numFmtId="171" fontId="3" fillId="33" borderId="16" xfId="0" applyNumberFormat="1" applyFont="1" applyFill="1" applyBorder="1" applyAlignment="1">
      <alignment/>
    </xf>
    <xf numFmtId="171" fontId="3" fillId="34" borderId="15" xfId="0" applyNumberFormat="1" applyFont="1" applyFill="1" applyBorder="1" applyAlignment="1">
      <alignment/>
    </xf>
    <xf numFmtId="171" fontId="3" fillId="34" borderId="0" xfId="0" applyNumberFormat="1" applyFont="1" applyFill="1" applyBorder="1" applyAlignment="1">
      <alignment/>
    </xf>
    <xf numFmtId="171" fontId="4" fillId="33" borderId="15" xfId="0" applyNumberFormat="1" applyFont="1" applyFill="1" applyBorder="1" applyAlignment="1">
      <alignment horizontal="right"/>
    </xf>
    <xf numFmtId="171" fontId="4" fillId="33" borderId="0" xfId="0" applyNumberFormat="1" applyFont="1" applyFill="1" applyBorder="1" applyAlignment="1">
      <alignment horizontal="right"/>
    </xf>
    <xf numFmtId="171" fontId="4" fillId="33" borderId="16" xfId="0" applyNumberFormat="1" applyFont="1" applyFill="1" applyBorder="1" applyAlignment="1">
      <alignment horizontal="right"/>
    </xf>
    <xf numFmtId="171" fontId="4" fillId="34" borderId="15" xfId="0" applyNumberFormat="1" applyFont="1" applyFill="1" applyBorder="1" applyAlignment="1">
      <alignment horizontal="right"/>
    </xf>
    <xf numFmtId="171" fontId="4" fillId="34" borderId="0" xfId="0" applyNumberFormat="1" applyFont="1" applyFill="1" applyBorder="1" applyAlignment="1">
      <alignment horizontal="right"/>
    </xf>
    <xf numFmtId="171" fontId="5" fillId="33" borderId="18" xfId="0" applyNumberFormat="1" applyFont="1" applyFill="1" applyBorder="1" applyAlignment="1">
      <alignment/>
    </xf>
    <xf numFmtId="171" fontId="5" fillId="33" borderId="19" xfId="0" applyNumberFormat="1" applyFont="1" applyFill="1" applyBorder="1" applyAlignment="1">
      <alignment/>
    </xf>
    <xf numFmtId="171" fontId="5" fillId="33" borderId="20" xfId="0" applyNumberFormat="1" applyFont="1" applyFill="1" applyBorder="1" applyAlignment="1">
      <alignment/>
    </xf>
    <xf numFmtId="171" fontId="5" fillId="33" borderId="15" xfId="0" applyNumberFormat="1" applyFont="1" applyFill="1" applyBorder="1" applyAlignment="1">
      <alignment/>
    </xf>
    <xf numFmtId="171" fontId="5" fillId="33" borderId="0" xfId="0" applyNumberFormat="1" applyFont="1" applyFill="1" applyBorder="1" applyAlignment="1">
      <alignment/>
    </xf>
    <xf numFmtId="171" fontId="5" fillId="33" borderId="16" xfId="0" applyNumberFormat="1" applyFont="1" applyFill="1" applyBorder="1" applyAlignment="1">
      <alignment/>
    </xf>
    <xf numFmtId="37" fontId="5" fillId="33" borderId="10" xfId="0" applyNumberFormat="1" applyFont="1" applyFill="1" applyBorder="1" applyAlignment="1">
      <alignment horizontal="left" indent="1"/>
    </xf>
    <xf numFmtId="171" fontId="5" fillId="33" borderId="11" xfId="0" applyNumberFormat="1" applyFont="1" applyFill="1" applyBorder="1" applyAlignment="1">
      <alignment/>
    </xf>
    <xf numFmtId="171" fontId="5" fillId="33" borderId="12" xfId="0" applyNumberFormat="1" applyFont="1" applyFill="1" applyBorder="1" applyAlignment="1">
      <alignment/>
    </xf>
    <xf numFmtId="171" fontId="5" fillId="33" borderId="13" xfId="0" applyNumberFormat="1" applyFont="1" applyFill="1" applyBorder="1" applyAlignment="1">
      <alignment/>
    </xf>
    <xf numFmtId="171" fontId="5" fillId="33" borderId="14" xfId="0" applyNumberFormat="1" applyFont="1" applyFill="1" applyBorder="1" applyAlignment="1">
      <alignment horizontal="right"/>
    </xf>
    <xf numFmtId="171" fontId="5" fillId="33" borderId="0" xfId="0" applyNumberFormat="1" applyFont="1" applyFill="1" applyBorder="1" applyAlignment="1">
      <alignment horizontal="right"/>
    </xf>
    <xf numFmtId="171" fontId="5" fillId="0" borderId="15" xfId="0" applyNumberFormat="1" applyFont="1" applyBorder="1" applyAlignment="1">
      <alignment horizontal="left"/>
    </xf>
    <xf numFmtId="171" fontId="5" fillId="0" borderId="15" xfId="0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/>
    </xf>
    <xf numFmtId="171" fontId="5" fillId="0" borderId="0" xfId="0" applyNumberFormat="1" applyFont="1" applyFill="1" applyAlignment="1">
      <alignment/>
    </xf>
    <xf numFmtId="171" fontId="5" fillId="0" borderId="0" xfId="0" applyNumberFormat="1" applyFont="1" applyAlignment="1">
      <alignment/>
    </xf>
    <xf numFmtId="9" fontId="6" fillId="33" borderId="12" xfId="57" applyFont="1" applyFill="1" applyBorder="1" applyAlignment="1">
      <alignment horizontal="right"/>
    </xf>
    <xf numFmtId="9" fontId="6" fillId="33" borderId="19" xfId="57" applyFont="1" applyFill="1" applyBorder="1" applyAlignment="1">
      <alignment horizontal="right"/>
    </xf>
    <xf numFmtId="37" fontId="5" fillId="34" borderId="21" xfId="0" applyNumberFormat="1" applyFont="1" applyFill="1" applyBorder="1" applyAlignment="1">
      <alignment horizontal="right"/>
    </xf>
    <xf numFmtId="4" fontId="6" fillId="34" borderId="17" xfId="57" applyNumberFormat="1" applyFont="1" applyFill="1" applyBorder="1" applyAlignment="1">
      <alignment horizontal="right"/>
    </xf>
    <xf numFmtId="9" fontId="5" fillId="34" borderId="0" xfId="57" applyFont="1" applyFill="1" applyAlignment="1">
      <alignment horizontal="center"/>
    </xf>
    <xf numFmtId="9" fontId="6" fillId="33" borderId="22" xfId="57" applyFont="1" applyFill="1" applyBorder="1" applyAlignment="1">
      <alignment horizontal="right"/>
    </xf>
    <xf numFmtId="9" fontId="6" fillId="33" borderId="0" xfId="57" applyFont="1" applyFill="1" applyBorder="1" applyAlignment="1">
      <alignment horizontal="right"/>
    </xf>
    <xf numFmtId="37" fontId="4" fillId="0" borderId="16" xfId="0" applyNumberFormat="1" applyFont="1" applyBorder="1" applyAlignment="1">
      <alignment/>
    </xf>
    <xf numFmtId="37" fontId="5" fillId="33" borderId="11" xfId="0" applyNumberFormat="1" applyFont="1" applyFill="1" applyBorder="1" applyAlignment="1">
      <alignment horizontal="right"/>
    </xf>
    <xf numFmtId="37" fontId="5" fillId="33" borderId="15" xfId="0" applyNumberFormat="1" applyFont="1" applyFill="1" applyBorder="1" applyAlignment="1">
      <alignment horizontal="right"/>
    </xf>
    <xf numFmtId="37" fontId="6" fillId="33" borderId="14" xfId="0" applyNumberFormat="1" applyFont="1" applyFill="1" applyBorder="1" applyAlignment="1">
      <alignment horizontal="center"/>
    </xf>
    <xf numFmtId="171" fontId="4" fillId="35" borderId="15" xfId="0" applyNumberFormat="1" applyFont="1" applyFill="1" applyBorder="1" applyAlignment="1">
      <alignment/>
    </xf>
    <xf numFmtId="171" fontId="4" fillId="35" borderId="0" xfId="0" applyNumberFormat="1" applyFont="1" applyFill="1" applyBorder="1" applyAlignment="1">
      <alignment/>
    </xf>
    <xf numFmtId="171" fontId="4" fillId="35" borderId="16" xfId="0" applyNumberFormat="1" applyFont="1" applyFill="1" applyBorder="1" applyAlignment="1">
      <alignment/>
    </xf>
    <xf numFmtId="171" fontId="3" fillId="35" borderId="15" xfId="0" applyNumberFormat="1" applyFont="1" applyFill="1" applyBorder="1" applyAlignment="1">
      <alignment/>
    </xf>
    <xf numFmtId="171" fontId="3" fillId="35" borderId="0" xfId="0" applyNumberFormat="1" applyFont="1" applyFill="1" applyBorder="1" applyAlignment="1">
      <alignment/>
    </xf>
    <xf numFmtId="171" fontId="3" fillId="35" borderId="16" xfId="0" applyNumberFormat="1" applyFont="1" applyFill="1" applyBorder="1" applyAlignment="1">
      <alignment/>
    </xf>
    <xf numFmtId="171" fontId="3" fillId="35" borderId="15" xfId="0" applyNumberFormat="1" applyFont="1" applyFill="1" applyBorder="1" applyAlignment="1">
      <alignment/>
    </xf>
    <xf numFmtId="171" fontId="3" fillId="35" borderId="0" xfId="0" applyNumberFormat="1" applyFont="1" applyFill="1" applyBorder="1" applyAlignment="1">
      <alignment/>
    </xf>
    <xf numFmtId="171" fontId="3" fillId="35" borderId="16" xfId="0" applyNumberFormat="1" applyFont="1" applyFill="1" applyBorder="1" applyAlignment="1">
      <alignment/>
    </xf>
    <xf numFmtId="171" fontId="5" fillId="35" borderId="11" xfId="0" applyNumberFormat="1" applyFont="1" applyFill="1" applyBorder="1" applyAlignment="1">
      <alignment/>
    </xf>
    <xf numFmtId="171" fontId="5" fillId="35" borderId="12" xfId="0" applyNumberFormat="1" applyFont="1" applyFill="1" applyBorder="1" applyAlignment="1">
      <alignment/>
    </xf>
    <xf numFmtId="171" fontId="5" fillId="35" borderId="13" xfId="0" applyNumberFormat="1" applyFont="1" applyFill="1" applyBorder="1" applyAlignment="1">
      <alignment/>
    </xf>
    <xf numFmtId="171" fontId="5" fillId="35" borderId="15" xfId="0" applyNumberFormat="1" applyFont="1" applyFill="1" applyBorder="1" applyAlignment="1">
      <alignment/>
    </xf>
    <xf numFmtId="171" fontId="5" fillId="35" borderId="0" xfId="0" applyNumberFormat="1" applyFont="1" applyFill="1" applyBorder="1" applyAlignment="1">
      <alignment/>
    </xf>
    <xf numFmtId="171" fontId="5" fillId="35" borderId="16" xfId="0" applyNumberFormat="1" applyFont="1" applyFill="1" applyBorder="1" applyAlignment="1">
      <alignment/>
    </xf>
    <xf numFmtId="37" fontId="4" fillId="35" borderId="18" xfId="0" applyNumberFormat="1" applyFont="1" applyFill="1" applyBorder="1" applyAlignment="1">
      <alignment/>
    </xf>
    <xf numFmtId="37" fontId="4" fillId="35" borderId="19" xfId="0" applyNumberFormat="1" applyFont="1" applyFill="1" applyBorder="1" applyAlignment="1">
      <alignment/>
    </xf>
    <xf numFmtId="37" fontId="4" fillId="35" borderId="20" xfId="0" applyNumberFormat="1" applyFont="1" applyFill="1" applyBorder="1" applyAlignment="1">
      <alignment/>
    </xf>
    <xf numFmtId="37" fontId="5" fillId="35" borderId="11" xfId="0" applyNumberFormat="1" applyFont="1" applyFill="1" applyBorder="1" applyAlignment="1">
      <alignment horizontal="center"/>
    </xf>
    <xf numFmtId="37" fontId="5" fillId="35" borderId="12" xfId="0" applyNumberFormat="1" applyFont="1" applyFill="1" applyBorder="1" applyAlignment="1">
      <alignment horizontal="center"/>
    </xf>
    <xf numFmtId="37" fontId="5" fillId="35" borderId="13" xfId="0" applyNumberFormat="1" applyFont="1" applyFill="1" applyBorder="1" applyAlignment="1">
      <alignment/>
    </xf>
    <xf numFmtId="37" fontId="5" fillId="35" borderId="15" xfId="0" applyNumberFormat="1" applyFont="1" applyFill="1" applyBorder="1" applyAlignment="1">
      <alignment/>
    </xf>
    <xf numFmtId="37" fontId="5" fillId="35" borderId="0" xfId="0" applyNumberFormat="1" applyFont="1" applyFill="1" applyBorder="1" applyAlignment="1">
      <alignment/>
    </xf>
    <xf numFmtId="37" fontId="5" fillId="35" borderId="16" xfId="0" applyNumberFormat="1" applyFont="1" applyFill="1" applyBorder="1" applyAlignment="1">
      <alignment/>
    </xf>
    <xf numFmtId="10" fontId="5" fillId="35" borderId="15" xfId="57" applyNumberFormat="1" applyFont="1" applyFill="1" applyBorder="1" applyAlignment="1">
      <alignment horizontal="center"/>
    </xf>
    <xf numFmtId="9" fontId="5" fillId="35" borderId="0" xfId="57" applyFont="1" applyFill="1" applyBorder="1" applyAlignment="1">
      <alignment/>
    </xf>
    <xf numFmtId="9" fontId="5" fillId="35" borderId="16" xfId="57" applyFont="1" applyFill="1" applyBorder="1" applyAlignment="1">
      <alignment/>
    </xf>
    <xf numFmtId="9" fontId="5" fillId="35" borderId="15" xfId="57" applyFont="1" applyFill="1" applyBorder="1" applyAlignment="1">
      <alignment horizontal="center"/>
    </xf>
    <xf numFmtId="37" fontId="5" fillId="35" borderId="18" xfId="0" applyNumberFormat="1" applyFont="1" applyFill="1" applyBorder="1" applyAlignment="1">
      <alignment horizontal="center"/>
    </xf>
    <xf numFmtId="37" fontId="5" fillId="35" borderId="19" xfId="0" applyNumberFormat="1" applyFont="1" applyFill="1" applyBorder="1" applyAlignment="1">
      <alignment/>
    </xf>
    <xf numFmtId="37" fontId="5" fillId="35" borderId="20" xfId="0" applyNumberFormat="1" applyFont="1" applyFill="1" applyBorder="1" applyAlignment="1">
      <alignment/>
    </xf>
    <xf numFmtId="37" fontId="6" fillId="0" borderId="14" xfId="0" applyNumberFormat="1" applyFont="1" applyBorder="1" applyAlignment="1">
      <alignment horizontal="center"/>
    </xf>
    <xf numFmtId="37" fontId="5" fillId="36" borderId="12" xfId="0" applyNumberFormat="1" applyFont="1" applyFill="1" applyBorder="1" applyAlignment="1">
      <alignment horizontal="center"/>
    </xf>
    <xf numFmtId="37" fontId="5" fillId="36" borderId="13" xfId="0" applyNumberFormat="1" applyFont="1" applyFill="1" applyBorder="1" applyAlignment="1">
      <alignment horizontal="center"/>
    </xf>
    <xf numFmtId="171" fontId="5" fillId="36" borderId="0" xfId="0" applyNumberFormat="1" applyFont="1" applyFill="1" applyBorder="1" applyAlignment="1">
      <alignment horizontal="center"/>
    </xf>
    <xf numFmtId="171" fontId="5" fillId="36" borderId="16" xfId="0" applyNumberFormat="1" applyFont="1" applyFill="1" applyBorder="1" applyAlignment="1">
      <alignment horizontal="center"/>
    </xf>
    <xf numFmtId="171" fontId="6" fillId="36" borderId="0" xfId="0" applyNumberFormat="1" applyFont="1" applyFill="1" applyBorder="1" applyAlignment="1">
      <alignment horizontal="center"/>
    </xf>
    <xf numFmtId="171" fontId="6" fillId="36" borderId="16" xfId="0" applyNumberFormat="1" applyFont="1" applyFill="1" applyBorder="1" applyAlignment="1">
      <alignment horizontal="center"/>
    </xf>
    <xf numFmtId="171" fontId="6" fillId="34" borderId="23" xfId="0" applyNumberFormat="1" applyFont="1" applyFill="1" applyBorder="1" applyAlignment="1">
      <alignment horizontal="center"/>
    </xf>
    <xf numFmtId="171" fontId="6" fillId="34" borderId="22" xfId="0" applyNumberFormat="1" applyFont="1" applyFill="1" applyBorder="1" applyAlignment="1">
      <alignment horizontal="center"/>
    </xf>
    <xf numFmtId="171" fontId="6" fillId="34" borderId="24" xfId="0" applyNumberFormat="1" applyFont="1" applyFill="1" applyBorder="1" applyAlignment="1">
      <alignment horizontal="center"/>
    </xf>
    <xf numFmtId="171" fontId="4" fillId="36" borderId="0" xfId="0" applyNumberFormat="1" applyFont="1" applyFill="1" applyBorder="1" applyAlignment="1">
      <alignment horizontal="right"/>
    </xf>
    <xf numFmtId="171" fontId="4" fillId="36" borderId="16" xfId="0" applyNumberFormat="1" applyFont="1" applyFill="1" applyBorder="1" applyAlignment="1">
      <alignment horizontal="right"/>
    </xf>
    <xf numFmtId="1" fontId="6" fillId="33" borderId="12" xfId="57" applyNumberFormat="1" applyFont="1" applyFill="1" applyBorder="1" applyAlignment="1">
      <alignment horizontal="right"/>
    </xf>
    <xf numFmtId="1" fontId="6" fillId="33" borderId="22" xfId="57" applyNumberFormat="1" applyFont="1" applyFill="1" applyBorder="1" applyAlignment="1">
      <alignment horizontal="right"/>
    </xf>
    <xf numFmtId="9" fontId="4" fillId="0" borderId="0" xfId="57" applyFont="1" applyAlignment="1">
      <alignment/>
    </xf>
    <xf numFmtId="171" fontId="3" fillId="33" borderId="11" xfId="0" applyNumberFormat="1" applyFont="1" applyFill="1" applyBorder="1" applyAlignment="1">
      <alignment horizontal="center"/>
    </xf>
    <xf numFmtId="171" fontId="3" fillId="33" borderId="12" xfId="0" applyNumberFormat="1" applyFont="1" applyFill="1" applyBorder="1" applyAlignment="1">
      <alignment horizontal="center"/>
    </xf>
    <xf numFmtId="171" fontId="3" fillId="33" borderId="13" xfId="0" applyNumberFormat="1" applyFont="1" applyFill="1" applyBorder="1" applyAlignment="1">
      <alignment horizontal="center"/>
    </xf>
    <xf numFmtId="171" fontId="5" fillId="33" borderId="15" xfId="0" applyNumberFormat="1" applyFont="1" applyFill="1" applyBorder="1" applyAlignment="1">
      <alignment horizontal="center"/>
    </xf>
    <xf numFmtId="171" fontId="5" fillId="33" borderId="0" xfId="0" applyNumberFormat="1" applyFont="1" applyFill="1" applyBorder="1" applyAlignment="1">
      <alignment horizontal="center"/>
    </xf>
    <xf numFmtId="171" fontId="5" fillId="33" borderId="16" xfId="0" applyNumberFormat="1" applyFont="1" applyFill="1" applyBorder="1" applyAlignment="1">
      <alignment horizontal="center"/>
    </xf>
    <xf numFmtId="171" fontId="4" fillId="33" borderId="18" xfId="0" applyNumberFormat="1" applyFont="1" applyFill="1" applyBorder="1" applyAlignment="1">
      <alignment/>
    </xf>
    <xf numFmtId="171" fontId="4" fillId="33" borderId="19" xfId="0" applyNumberFormat="1" applyFont="1" applyFill="1" applyBorder="1" applyAlignment="1">
      <alignment/>
    </xf>
    <xf numFmtId="171" fontId="4" fillId="33" borderId="20" xfId="0" applyNumberFormat="1" applyFont="1" applyFill="1" applyBorder="1" applyAlignment="1">
      <alignment/>
    </xf>
    <xf numFmtId="171" fontId="7" fillId="33" borderId="11" xfId="0" applyNumberFormat="1" applyFont="1" applyFill="1" applyBorder="1" applyAlignment="1">
      <alignment horizontal="right"/>
    </xf>
    <xf numFmtId="171" fontId="7" fillId="33" borderId="12" xfId="0" applyNumberFormat="1" applyFont="1" applyFill="1" applyBorder="1" applyAlignment="1">
      <alignment horizontal="right"/>
    </xf>
    <xf numFmtId="1" fontId="6" fillId="37" borderId="21" xfId="57" applyNumberFormat="1" applyFont="1" applyFill="1" applyBorder="1" applyAlignment="1">
      <alignment horizontal="right"/>
    </xf>
    <xf numFmtId="3" fontId="6" fillId="37" borderId="21" xfId="57" applyNumberFormat="1" applyFont="1" applyFill="1" applyBorder="1" applyAlignment="1">
      <alignment horizontal="right"/>
    </xf>
    <xf numFmtId="3" fontId="6" fillId="37" borderId="17" xfId="57" applyNumberFormat="1" applyFont="1" applyFill="1" applyBorder="1" applyAlignment="1">
      <alignment horizontal="right"/>
    </xf>
    <xf numFmtId="9" fontId="6" fillId="37" borderId="17" xfId="57" applyFont="1" applyFill="1" applyBorder="1" applyAlignment="1">
      <alignment horizontal="right"/>
    </xf>
    <xf numFmtId="9" fontId="6" fillId="37" borderId="21" xfId="57" applyFont="1" applyFill="1" applyBorder="1" applyAlignment="1">
      <alignment horizontal="right"/>
    </xf>
    <xf numFmtId="37" fontId="6" fillId="37" borderId="21" xfId="0" applyNumberFormat="1" applyFont="1" applyFill="1" applyBorder="1" applyAlignment="1">
      <alignment horizontal="right"/>
    </xf>
    <xf numFmtId="9" fontId="4" fillId="37" borderId="22" xfId="57" applyFont="1" applyFill="1" applyBorder="1" applyAlignment="1">
      <alignment horizontal="center"/>
    </xf>
    <xf numFmtId="9" fontId="4" fillId="37" borderId="24" xfId="57" applyFont="1" applyFill="1" applyBorder="1" applyAlignment="1">
      <alignment horizontal="center"/>
    </xf>
    <xf numFmtId="9" fontId="4" fillId="37" borderId="23" xfId="57" applyFont="1" applyFill="1" applyBorder="1" applyAlignment="1">
      <alignment horizontal="center"/>
    </xf>
    <xf numFmtId="166" fontId="6" fillId="37" borderId="21" xfId="57" applyNumberFormat="1" applyFont="1" applyFill="1" applyBorder="1" applyAlignment="1">
      <alignment horizontal="right"/>
    </xf>
    <xf numFmtId="37" fontId="4" fillId="33" borderId="14" xfId="0" applyNumberFormat="1" applyFont="1" applyFill="1" applyBorder="1" applyAlignment="1">
      <alignment horizontal="left" indent="2"/>
    </xf>
    <xf numFmtId="9" fontId="4" fillId="33" borderId="14" xfId="57" applyFont="1" applyFill="1" applyBorder="1" applyAlignment="1">
      <alignment horizontal="right"/>
    </xf>
    <xf numFmtId="170" fontId="4" fillId="33" borderId="14" xfId="0" applyNumberFormat="1" applyFont="1" applyFill="1" applyBorder="1" applyAlignment="1">
      <alignment horizontal="right"/>
    </xf>
    <xf numFmtId="39" fontId="4" fillId="33" borderId="14" xfId="0" applyNumberFormat="1" applyFont="1" applyFill="1" applyBorder="1" applyAlignment="1">
      <alignment horizontal="right"/>
    </xf>
    <xf numFmtId="37" fontId="9" fillId="33" borderId="0" xfId="0" applyNumberFormat="1" applyFont="1" applyFill="1" applyBorder="1" applyAlignment="1">
      <alignment horizontal="left"/>
    </xf>
    <xf numFmtId="37" fontId="4" fillId="33" borderId="0" xfId="0" applyNumberFormat="1" applyFont="1" applyFill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4" fontId="6" fillId="37" borderId="17" xfId="57" applyNumberFormat="1" applyFont="1" applyFill="1" applyBorder="1" applyAlignment="1">
      <alignment horizontal="right"/>
    </xf>
    <xf numFmtId="172" fontId="6" fillId="34" borderId="21" xfId="57" applyNumberFormat="1" applyFont="1" applyFill="1" applyBorder="1" applyAlignment="1">
      <alignment horizontal="right"/>
    </xf>
    <xf numFmtId="37" fontId="9" fillId="33" borderId="0" xfId="0" applyNumberFormat="1" applyFont="1" applyFill="1" applyBorder="1" applyAlignment="1">
      <alignment horizontal="left" indent="2"/>
    </xf>
    <xf numFmtId="37" fontId="5" fillId="37" borderId="25" xfId="0" applyNumberFormat="1" applyFont="1" applyFill="1" applyBorder="1" applyAlignment="1">
      <alignment horizontal="right"/>
    </xf>
    <xf numFmtId="37" fontId="5" fillId="37" borderId="26" xfId="0" applyNumberFormat="1" applyFont="1" applyFill="1" applyBorder="1" applyAlignment="1">
      <alignment horizontal="right"/>
    </xf>
    <xf numFmtId="37" fontId="5" fillId="37" borderId="27" xfId="0" applyNumberFormat="1" applyFont="1" applyFill="1" applyBorder="1" applyAlignment="1">
      <alignment horizontal="right"/>
    </xf>
    <xf numFmtId="171" fontId="4" fillId="34" borderId="23" xfId="0" applyNumberFormat="1" applyFont="1" applyFill="1" applyBorder="1" applyAlignment="1">
      <alignment horizontal="center"/>
    </xf>
    <xf numFmtId="171" fontId="4" fillId="34" borderId="22" xfId="0" applyNumberFormat="1" applyFont="1" applyFill="1" applyBorder="1" applyAlignment="1">
      <alignment horizontal="center"/>
    </xf>
    <xf numFmtId="171" fontId="4" fillId="34" borderId="24" xfId="0" applyNumberFormat="1" applyFont="1" applyFill="1" applyBorder="1" applyAlignment="1">
      <alignment horizontal="center"/>
    </xf>
    <xf numFmtId="171" fontId="4" fillId="0" borderId="23" xfId="0" applyNumberFormat="1" applyFont="1" applyFill="1" applyBorder="1" applyAlignment="1">
      <alignment/>
    </xf>
    <xf numFmtId="171" fontId="4" fillId="0" borderId="22" xfId="0" applyNumberFormat="1" applyFont="1" applyFill="1" applyBorder="1" applyAlignment="1">
      <alignment/>
    </xf>
    <xf numFmtId="168" fontId="5" fillId="0" borderId="13" xfId="0" applyNumberFormat="1" applyFont="1" applyFill="1" applyBorder="1" applyAlignment="1">
      <alignment/>
    </xf>
    <xf numFmtId="37" fontId="4" fillId="0" borderId="16" xfId="0" applyNumberFormat="1" applyFont="1" applyFill="1" applyBorder="1" applyAlignment="1">
      <alignment/>
    </xf>
    <xf numFmtId="37" fontId="4" fillId="0" borderId="20" xfId="0" applyNumberFormat="1" applyFont="1" applyFill="1" applyBorder="1" applyAlignment="1">
      <alignment/>
    </xf>
    <xf numFmtId="37" fontId="6" fillId="33" borderId="15" xfId="0" applyNumberFormat="1" applyFont="1" applyFill="1" applyBorder="1" applyAlignment="1">
      <alignment horizontal="center"/>
    </xf>
    <xf numFmtId="37" fontId="6" fillId="36" borderId="0" xfId="0" applyNumberFormat="1" applyFont="1" applyFill="1" applyBorder="1" applyAlignment="1">
      <alignment horizontal="center"/>
    </xf>
    <xf numFmtId="171" fontId="4" fillId="0" borderId="24" xfId="0" applyNumberFormat="1" applyFont="1" applyFill="1" applyBorder="1" applyAlignment="1">
      <alignment/>
    </xf>
    <xf numFmtId="171" fontId="7" fillId="0" borderId="16" xfId="0" applyNumberFormat="1" applyFont="1" applyFill="1" applyBorder="1" applyAlignment="1">
      <alignment/>
    </xf>
    <xf numFmtId="171" fontId="4" fillId="0" borderId="16" xfId="0" applyNumberFormat="1" applyFont="1" applyBorder="1" applyAlignment="1">
      <alignment/>
    </xf>
    <xf numFmtId="171" fontId="3" fillId="0" borderId="16" xfId="0" applyNumberFormat="1" applyFont="1" applyBorder="1" applyAlignment="1">
      <alignment horizontal="right"/>
    </xf>
    <xf numFmtId="171" fontId="4" fillId="0" borderId="16" xfId="0" applyNumberFormat="1" applyFont="1" applyFill="1" applyBorder="1" applyAlignment="1">
      <alignment/>
    </xf>
    <xf numFmtId="171" fontId="4" fillId="0" borderId="16" xfId="0" applyNumberFormat="1" applyFont="1" applyBorder="1" applyAlignment="1">
      <alignment horizontal="right"/>
    </xf>
    <xf numFmtId="171" fontId="3" fillId="0" borderId="16" xfId="0" applyNumberFormat="1" applyFont="1" applyFill="1" applyBorder="1" applyAlignment="1">
      <alignment/>
    </xf>
    <xf numFmtId="171" fontId="7" fillId="33" borderId="13" xfId="0" applyNumberFormat="1" applyFont="1" applyFill="1" applyBorder="1" applyAlignment="1">
      <alignment horizontal="right"/>
    </xf>
    <xf numFmtId="171" fontId="3" fillId="34" borderId="16" xfId="0" applyNumberFormat="1" applyFont="1" applyFill="1" applyBorder="1" applyAlignment="1">
      <alignment/>
    </xf>
    <xf numFmtId="171" fontId="4" fillId="34" borderId="16" xfId="0" applyNumberFormat="1" applyFont="1" applyFill="1" applyBorder="1" applyAlignment="1">
      <alignment horizontal="right"/>
    </xf>
    <xf numFmtId="37" fontId="4" fillId="0" borderId="13" xfId="0" applyNumberFormat="1" applyFont="1" applyFill="1" applyBorder="1" applyAlignment="1">
      <alignment/>
    </xf>
    <xf numFmtId="171" fontId="5" fillId="0" borderId="16" xfId="0" applyNumberFormat="1" applyFont="1" applyFill="1" applyBorder="1" applyAlignment="1">
      <alignment/>
    </xf>
    <xf numFmtId="37" fontId="5" fillId="0" borderId="16" xfId="0" applyNumberFormat="1" applyFont="1" applyFill="1" applyBorder="1" applyAlignment="1">
      <alignment/>
    </xf>
    <xf numFmtId="37" fontId="9" fillId="33" borderId="11" xfId="0" applyNumberFormat="1" applyFont="1" applyFill="1" applyBorder="1" applyAlignment="1">
      <alignment horizontal="left"/>
    </xf>
    <xf numFmtId="37" fontId="4" fillId="0" borderId="12" xfId="0" applyNumberFormat="1" applyFont="1" applyBorder="1" applyAlignment="1">
      <alignment horizontal="center"/>
    </xf>
    <xf numFmtId="37" fontId="4" fillId="0" borderId="13" xfId="0" applyNumberFormat="1" applyFont="1" applyBorder="1" applyAlignment="1">
      <alignment/>
    </xf>
    <xf numFmtId="37" fontId="6" fillId="33" borderId="15" xfId="0" applyNumberFormat="1" applyFont="1" applyFill="1" applyBorder="1" applyAlignment="1">
      <alignment horizontal="left"/>
    </xf>
    <xf numFmtId="37" fontId="9" fillId="33" borderId="15" xfId="0" applyNumberFormat="1" applyFont="1" applyFill="1" applyBorder="1" applyAlignment="1">
      <alignment horizontal="left"/>
    </xf>
    <xf numFmtId="37" fontId="6" fillId="33" borderId="15" xfId="0" applyNumberFormat="1" applyFont="1" applyFill="1" applyBorder="1" applyAlignment="1">
      <alignment horizontal="left" indent="1"/>
    </xf>
    <xf numFmtId="37" fontId="5" fillId="33" borderId="15" xfId="0" applyNumberFormat="1" applyFont="1" applyFill="1" applyBorder="1" applyAlignment="1">
      <alignment horizontal="left" indent="2"/>
    </xf>
    <xf numFmtId="37" fontId="5" fillId="0" borderId="16" xfId="0" applyNumberFormat="1" applyFont="1" applyBorder="1" applyAlignment="1">
      <alignment/>
    </xf>
    <xf numFmtId="37" fontId="9" fillId="33" borderId="15" xfId="0" applyNumberFormat="1" applyFont="1" applyFill="1" applyBorder="1" applyAlignment="1">
      <alignment horizontal="left" indent="1"/>
    </xf>
    <xf numFmtId="37" fontId="9" fillId="33" borderId="15" xfId="0" applyNumberFormat="1" applyFont="1" applyFill="1" applyBorder="1" applyAlignment="1">
      <alignment horizontal="left" indent="2"/>
    </xf>
    <xf numFmtId="37" fontId="6" fillId="33" borderId="15" xfId="0" applyNumberFormat="1" applyFont="1" applyFill="1" applyBorder="1" applyAlignment="1">
      <alignment horizontal="left" indent="2"/>
    </xf>
    <xf numFmtId="37" fontId="6" fillId="33" borderId="18" xfId="0" applyNumberFormat="1" applyFont="1" applyFill="1" applyBorder="1" applyAlignment="1">
      <alignment horizontal="left" indent="1"/>
    </xf>
    <xf numFmtId="37" fontId="4" fillId="33" borderId="19" xfId="0" applyNumberFormat="1" applyFont="1" applyFill="1" applyBorder="1" applyAlignment="1">
      <alignment horizontal="right"/>
    </xf>
    <xf numFmtId="37" fontId="4" fillId="0" borderId="19" xfId="0" applyNumberFormat="1" applyFont="1" applyBorder="1" applyAlignment="1">
      <alignment horizontal="center"/>
    </xf>
    <xf numFmtId="37" fontId="4" fillId="0" borderId="20" xfId="0" applyNumberFormat="1" applyFont="1" applyBorder="1" applyAlignment="1">
      <alignment/>
    </xf>
    <xf numFmtId="37" fontId="9" fillId="33" borderId="18" xfId="0" applyNumberFormat="1" applyFont="1" applyFill="1" applyBorder="1" applyAlignment="1">
      <alignment horizontal="left"/>
    </xf>
    <xf numFmtId="37" fontId="10" fillId="33" borderId="15" xfId="0" applyNumberFormat="1" applyFont="1" applyFill="1" applyBorder="1" applyAlignment="1">
      <alignment horizontal="left"/>
    </xf>
    <xf numFmtId="37" fontId="9" fillId="33" borderId="18" xfId="0" applyNumberFormat="1" applyFont="1" applyFill="1" applyBorder="1" applyAlignment="1">
      <alignment horizontal="left" indent="5"/>
    </xf>
    <xf numFmtId="172" fontId="6" fillId="33" borderId="19" xfId="57" applyNumberFormat="1" applyFont="1" applyFill="1" applyBorder="1" applyAlignment="1">
      <alignment horizontal="right"/>
    </xf>
    <xf numFmtId="37" fontId="8" fillId="33" borderId="15" xfId="0" applyNumberFormat="1" applyFont="1" applyFill="1" applyBorder="1" applyAlignment="1">
      <alignment horizontal="left"/>
    </xf>
    <xf numFmtId="37" fontId="9" fillId="33" borderId="15" xfId="0" applyNumberFormat="1" applyFont="1" applyFill="1" applyBorder="1" applyAlignment="1">
      <alignment horizontal="left" indent="3"/>
    </xf>
    <xf numFmtId="37" fontId="7" fillId="0" borderId="16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7" fontId="3" fillId="33" borderId="0" xfId="0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center"/>
    </xf>
    <xf numFmtId="37" fontId="10" fillId="33" borderId="15" xfId="0" applyNumberFormat="1" applyFont="1" applyFill="1" applyBorder="1" applyAlignment="1">
      <alignment horizontal="left" indent="1"/>
    </xf>
    <xf numFmtId="37" fontId="11" fillId="33" borderId="0" xfId="0" applyNumberFormat="1" applyFont="1" applyFill="1" applyBorder="1" applyAlignment="1">
      <alignment horizontal="right"/>
    </xf>
    <xf numFmtId="37" fontId="11" fillId="0" borderId="0" xfId="0" applyNumberFormat="1" applyFont="1" applyBorder="1" applyAlignment="1">
      <alignment horizontal="center"/>
    </xf>
    <xf numFmtId="4" fontId="10" fillId="34" borderId="21" xfId="57" applyNumberFormat="1" applyFont="1" applyFill="1" applyBorder="1" applyAlignment="1">
      <alignment horizontal="right"/>
    </xf>
    <xf numFmtId="37" fontId="11" fillId="0" borderId="16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10" fillId="33" borderId="0" xfId="0" applyNumberFormat="1" applyFont="1" applyFill="1" applyBorder="1" applyAlignment="1">
      <alignment horizontal="right"/>
    </xf>
    <xf numFmtId="37" fontId="10" fillId="0" borderId="0" xfId="0" applyNumberFormat="1" applyFont="1" applyBorder="1" applyAlignment="1">
      <alignment horizontal="center"/>
    </xf>
    <xf numFmtId="37" fontId="10" fillId="33" borderId="16" xfId="0" applyNumberFormat="1" applyFont="1" applyFill="1" applyBorder="1" applyAlignment="1">
      <alignment/>
    </xf>
    <xf numFmtId="37" fontId="10" fillId="33" borderId="0" xfId="0" applyNumberFormat="1" applyFont="1" applyFill="1" applyBorder="1" applyAlignment="1">
      <alignment/>
    </xf>
    <xf numFmtId="37" fontId="10" fillId="0" borderId="0" xfId="0" applyNumberFormat="1" applyFont="1" applyBorder="1" applyAlignment="1">
      <alignment/>
    </xf>
    <xf numFmtId="40" fontId="10" fillId="34" borderId="21" xfId="57" applyNumberFormat="1" applyFont="1" applyFill="1" applyBorder="1" applyAlignment="1">
      <alignment horizontal="right"/>
    </xf>
    <xf numFmtId="37" fontId="10" fillId="0" borderId="16" xfId="0" applyNumberFormat="1" applyFont="1" applyBorder="1" applyAlignment="1">
      <alignment/>
    </xf>
    <xf numFmtId="37" fontId="10" fillId="0" borderId="0" xfId="0" applyNumberFormat="1" applyFont="1" applyAlignment="1">
      <alignment/>
    </xf>
    <xf numFmtId="165" fontId="10" fillId="34" borderId="21" xfId="57" applyNumberFormat="1" applyFont="1" applyFill="1" applyBorder="1" applyAlignment="1">
      <alignment horizontal="right"/>
    </xf>
    <xf numFmtId="37" fontId="12" fillId="33" borderId="15" xfId="0" applyNumberFormat="1" applyFont="1" applyFill="1" applyBorder="1" applyAlignment="1">
      <alignment horizontal="left"/>
    </xf>
    <xf numFmtId="165" fontId="10" fillId="33" borderId="16" xfId="57" applyNumberFormat="1" applyFont="1" applyFill="1" applyBorder="1" applyAlignment="1">
      <alignment horizontal="left"/>
    </xf>
    <xf numFmtId="3" fontId="10" fillId="34" borderId="21" xfId="57" applyNumberFormat="1" applyFont="1" applyFill="1" applyBorder="1" applyAlignment="1">
      <alignment horizontal="right"/>
    </xf>
    <xf numFmtId="4" fontId="6" fillId="33" borderId="19" xfId="57" applyNumberFormat="1" applyFont="1" applyFill="1" applyBorder="1" applyAlignment="1">
      <alignment horizontal="right"/>
    </xf>
    <xf numFmtId="9" fontId="10" fillId="34" borderId="17" xfId="57" applyFont="1" applyFill="1" applyBorder="1" applyAlignment="1">
      <alignment horizontal="right"/>
    </xf>
    <xf numFmtId="37" fontId="14" fillId="0" borderId="0" xfId="0" applyNumberFormat="1" applyFont="1" applyBorder="1" applyAlignment="1">
      <alignment/>
    </xf>
    <xf numFmtId="165" fontId="10" fillId="33" borderId="12" xfId="57" applyNumberFormat="1" applyFont="1" applyFill="1" applyBorder="1" applyAlignment="1">
      <alignment horizontal="right"/>
    </xf>
    <xf numFmtId="9" fontId="4" fillId="33" borderId="0" xfId="57" applyFont="1" applyFill="1" applyBorder="1" applyAlignment="1">
      <alignment horizontal="center"/>
    </xf>
    <xf numFmtId="9" fontId="4" fillId="34" borderId="21" xfId="57" applyFont="1" applyFill="1" applyBorder="1" applyAlignment="1">
      <alignment horizontal="center"/>
    </xf>
    <xf numFmtId="9" fontId="5" fillId="34" borderId="17" xfId="57" applyFont="1" applyFill="1" applyBorder="1" applyAlignment="1">
      <alignment horizontal="center"/>
    </xf>
    <xf numFmtId="9" fontId="5" fillId="34" borderId="21" xfId="57" applyFont="1" applyFill="1" applyBorder="1" applyAlignment="1">
      <alignment horizontal="center"/>
    </xf>
    <xf numFmtId="171" fontId="5" fillId="34" borderId="17" xfId="0" applyNumberFormat="1" applyFont="1" applyFill="1" applyBorder="1" applyAlignment="1">
      <alignment horizontal="center"/>
    </xf>
    <xf numFmtId="169" fontId="4" fillId="0" borderId="0" xfId="57" applyNumberFormat="1" applyFont="1" applyAlignment="1">
      <alignment/>
    </xf>
    <xf numFmtId="1" fontId="6" fillId="37" borderId="21" xfId="57" applyNumberFormat="1" applyFont="1" applyFill="1" applyBorder="1" applyAlignment="1">
      <alignment horizontal="center"/>
    </xf>
    <xf numFmtId="166" fontId="6" fillId="34" borderId="21" xfId="57" applyNumberFormat="1" applyFont="1" applyFill="1" applyBorder="1" applyAlignment="1">
      <alignment horizontal="right"/>
    </xf>
    <xf numFmtId="166" fontId="6" fillId="33" borderId="22" xfId="57" applyNumberFormat="1" applyFont="1" applyFill="1" applyBorder="1" applyAlignment="1">
      <alignment horizontal="right"/>
    </xf>
    <xf numFmtId="37" fontId="5" fillId="33" borderId="0" xfId="0" applyNumberFormat="1" applyFont="1" applyFill="1" applyAlignment="1">
      <alignment/>
    </xf>
    <xf numFmtId="9" fontId="5" fillId="33" borderId="0" xfId="57" applyFont="1" applyFill="1" applyBorder="1" applyAlignment="1">
      <alignment horizontal="center"/>
    </xf>
    <xf numFmtId="38" fontId="10" fillId="34" borderId="21" xfId="57" applyNumberFormat="1" applyFont="1" applyFill="1" applyBorder="1" applyAlignment="1">
      <alignment horizontal="right"/>
    </xf>
    <xf numFmtId="3" fontId="6" fillId="34" borderId="21" xfId="57" applyNumberFormat="1" applyFont="1" applyFill="1" applyBorder="1" applyAlignment="1">
      <alignment horizontal="right"/>
    </xf>
    <xf numFmtId="37" fontId="6" fillId="0" borderId="14" xfId="0" applyNumberFormat="1" applyFont="1" applyBorder="1" applyAlignment="1">
      <alignment horizontal="left" indent="2"/>
    </xf>
    <xf numFmtId="37" fontId="6" fillId="0" borderId="14" xfId="0" applyNumberFormat="1" applyFont="1" applyBorder="1" applyAlignment="1">
      <alignment horizontal="right"/>
    </xf>
    <xf numFmtId="171" fontId="6" fillId="34" borderId="21" xfId="0" applyNumberFormat="1" applyFont="1" applyFill="1" applyBorder="1" applyAlignment="1">
      <alignment horizontal="right"/>
    </xf>
    <xf numFmtId="171" fontId="6" fillId="33" borderId="16" xfId="0" applyNumberFormat="1" applyFont="1" applyFill="1" applyBorder="1" applyAlignment="1">
      <alignment horizontal="left"/>
    </xf>
    <xf numFmtId="171" fontId="6" fillId="33" borderId="0" xfId="0" applyNumberFormat="1" applyFont="1" applyFill="1" applyBorder="1" applyAlignment="1">
      <alignment horizontal="right"/>
    </xf>
    <xf numFmtId="37" fontId="6" fillId="0" borderId="0" xfId="0" applyNumberFormat="1" applyFont="1" applyBorder="1" applyAlignment="1">
      <alignment horizontal="right"/>
    </xf>
    <xf numFmtId="171" fontId="6" fillId="34" borderId="21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right"/>
    </xf>
    <xf numFmtId="37" fontId="3" fillId="0" borderId="14" xfId="0" applyNumberFormat="1" applyFont="1" applyBorder="1" applyAlignment="1">
      <alignment horizontal="center"/>
    </xf>
    <xf numFmtId="37" fontId="3" fillId="0" borderId="16" xfId="0" applyNumberFormat="1" applyFont="1" applyBorder="1" applyAlignment="1">
      <alignment horizontal="center"/>
    </xf>
    <xf numFmtId="37" fontId="7" fillId="33" borderId="0" xfId="0" applyNumberFormat="1" applyFont="1" applyFill="1" applyBorder="1" applyAlignment="1">
      <alignment/>
    </xf>
    <xf numFmtId="37" fontId="7" fillId="0" borderId="19" xfId="0" applyNumberFormat="1" applyFont="1" applyFill="1" applyBorder="1" applyAlignment="1">
      <alignment/>
    </xf>
    <xf numFmtId="37" fontId="3" fillId="0" borderId="14" xfId="0" applyNumberFormat="1" applyFont="1" applyBorder="1" applyAlignment="1">
      <alignment/>
    </xf>
    <xf numFmtId="9" fontId="6" fillId="34" borderId="21" xfId="57" applyNumberFormat="1" applyFont="1" applyFill="1" applyBorder="1" applyAlignment="1">
      <alignment horizontal="right"/>
    </xf>
    <xf numFmtId="37" fontId="9" fillId="0" borderId="0" xfId="0" applyNumberFormat="1" applyFont="1" applyAlignment="1">
      <alignment/>
    </xf>
    <xf numFmtId="9" fontId="9" fillId="34" borderId="21" xfId="57" applyFont="1" applyFill="1" applyBorder="1" applyAlignment="1">
      <alignment horizontal="center"/>
    </xf>
    <xf numFmtId="9" fontId="9" fillId="37" borderId="23" xfId="57" applyFont="1" applyFill="1" applyBorder="1" applyAlignment="1">
      <alignment horizontal="center"/>
    </xf>
    <xf numFmtId="9" fontId="9" fillId="37" borderId="22" xfId="57" applyFont="1" applyFill="1" applyBorder="1" applyAlignment="1">
      <alignment horizontal="center"/>
    </xf>
    <xf numFmtId="9" fontId="9" fillId="37" borderId="24" xfId="57" applyFont="1" applyFill="1" applyBorder="1" applyAlignment="1">
      <alignment horizontal="center"/>
    </xf>
    <xf numFmtId="40" fontId="10" fillId="33" borderId="22" xfId="57" applyNumberFormat="1" applyFont="1" applyFill="1" applyBorder="1" applyAlignment="1">
      <alignment horizontal="right"/>
    </xf>
    <xf numFmtId="3" fontId="10" fillId="33" borderId="22" xfId="57" applyNumberFormat="1" applyFont="1" applyFill="1" applyBorder="1" applyAlignment="1">
      <alignment horizontal="right"/>
    </xf>
    <xf numFmtId="166" fontId="6" fillId="34" borderId="23" xfId="57" applyNumberFormat="1" applyFont="1" applyFill="1" applyBorder="1" applyAlignment="1">
      <alignment horizontal="center"/>
    </xf>
    <xf numFmtId="166" fontId="6" fillId="34" borderId="22" xfId="57" applyNumberFormat="1" applyFont="1" applyFill="1" applyBorder="1" applyAlignment="1">
      <alignment horizontal="center"/>
    </xf>
    <xf numFmtId="166" fontId="6" fillId="34" borderId="24" xfId="57" applyNumberFormat="1" applyFont="1" applyFill="1" applyBorder="1" applyAlignment="1">
      <alignment horizontal="center"/>
    </xf>
    <xf numFmtId="170" fontId="6" fillId="34" borderId="23" xfId="0" applyNumberFormat="1" applyFont="1" applyFill="1" applyBorder="1" applyAlignment="1">
      <alignment horizontal="center"/>
    </xf>
    <xf numFmtId="170" fontId="6" fillId="34" borderId="22" xfId="0" applyNumberFormat="1" applyFont="1" applyFill="1" applyBorder="1" applyAlignment="1">
      <alignment horizontal="center"/>
    </xf>
    <xf numFmtId="170" fontId="6" fillId="34" borderId="24" xfId="0" applyNumberFormat="1" applyFont="1" applyFill="1" applyBorder="1" applyAlignment="1">
      <alignment horizontal="center"/>
    </xf>
    <xf numFmtId="38" fontId="7" fillId="34" borderId="21" xfId="57" applyNumberFormat="1" applyFont="1" applyFill="1" applyBorder="1" applyAlignment="1">
      <alignment horizontal="right"/>
    </xf>
    <xf numFmtId="37" fontId="7" fillId="33" borderId="0" xfId="0" applyNumberFormat="1" applyFont="1" applyFill="1" applyBorder="1" applyAlignment="1">
      <alignment horizontal="left"/>
    </xf>
    <xf numFmtId="37" fontId="7" fillId="0" borderId="0" xfId="0" applyNumberFormat="1" applyFont="1" applyBorder="1" applyAlignment="1">
      <alignment horizontal="left"/>
    </xf>
    <xf numFmtId="37" fontId="7" fillId="0" borderId="16" xfId="0" applyNumberFormat="1" applyFont="1" applyBorder="1" applyAlignment="1">
      <alignment horizontal="left"/>
    </xf>
    <xf numFmtId="37" fontId="7" fillId="0" borderId="0" xfId="0" applyNumberFormat="1" applyFont="1" applyAlignment="1">
      <alignment horizontal="left"/>
    </xf>
    <xf numFmtId="37" fontId="7" fillId="33" borderId="15" xfId="0" applyNumberFormat="1" applyFont="1" applyFill="1" applyBorder="1" applyAlignment="1">
      <alignment horizontal="left" indent="3"/>
    </xf>
    <xf numFmtId="37" fontId="6" fillId="33" borderId="0" xfId="0" applyNumberFormat="1" applyFont="1" applyFill="1" applyBorder="1" applyAlignment="1">
      <alignment horizontal="right"/>
    </xf>
    <xf numFmtId="37" fontId="6" fillId="0" borderId="0" xfId="0" applyNumberFormat="1" applyFont="1" applyBorder="1" applyAlignment="1">
      <alignment horizontal="center"/>
    </xf>
    <xf numFmtId="165" fontId="6" fillId="33" borderId="19" xfId="57" applyNumberFormat="1" applyFont="1" applyFill="1" applyBorder="1" applyAlignment="1">
      <alignment horizontal="right"/>
    </xf>
    <xf numFmtId="37" fontId="6" fillId="33" borderId="16" xfId="0" applyNumberFormat="1" applyFont="1" applyFill="1" applyBorder="1" applyAlignment="1">
      <alignment/>
    </xf>
    <xf numFmtId="37" fontId="6" fillId="33" borderId="0" xfId="0" applyNumberFormat="1" applyFont="1" applyFill="1" applyBorder="1" applyAlignment="1">
      <alignment/>
    </xf>
    <xf numFmtId="37" fontId="6" fillId="0" borderId="0" xfId="0" applyNumberFormat="1" applyFont="1" applyBorder="1" applyAlignment="1">
      <alignment/>
    </xf>
    <xf numFmtId="165" fontId="6" fillId="33" borderId="22" xfId="57" applyNumberFormat="1" applyFont="1" applyFill="1" applyBorder="1" applyAlignment="1">
      <alignment horizontal="right"/>
    </xf>
    <xf numFmtId="37" fontId="6" fillId="0" borderId="16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9" fillId="33" borderId="0" xfId="0" applyNumberFormat="1" applyFont="1" applyFill="1" applyBorder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9" fillId="0" borderId="16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0" fontId="9" fillId="0" borderId="0" xfId="57" applyNumberFormat="1" applyFont="1" applyAlignment="1">
      <alignment/>
    </xf>
    <xf numFmtId="9" fontId="10" fillId="33" borderId="0" xfId="57" applyFont="1" applyFill="1" applyBorder="1" applyAlignment="1">
      <alignment horizontal="right"/>
    </xf>
    <xf numFmtId="37" fontId="11" fillId="33" borderId="16" xfId="0" applyNumberFormat="1" applyFont="1" applyFill="1" applyBorder="1" applyAlignment="1">
      <alignment/>
    </xf>
    <xf numFmtId="37" fontId="11" fillId="33" borderId="0" xfId="0" applyNumberFormat="1" applyFont="1" applyFill="1" applyBorder="1" applyAlignment="1">
      <alignment/>
    </xf>
    <xf numFmtId="37" fontId="14" fillId="33" borderId="0" xfId="0" applyNumberFormat="1" applyFont="1" applyFill="1" applyBorder="1" applyAlignment="1">
      <alignment horizontal="right"/>
    </xf>
    <xf numFmtId="37" fontId="14" fillId="0" borderId="0" xfId="0" applyNumberFormat="1" applyFont="1" applyBorder="1" applyAlignment="1">
      <alignment horizontal="center"/>
    </xf>
    <xf numFmtId="9" fontId="13" fillId="33" borderId="0" xfId="57" applyFont="1" applyFill="1" applyBorder="1" applyAlignment="1">
      <alignment horizontal="right"/>
    </xf>
    <xf numFmtId="37" fontId="14" fillId="33" borderId="16" xfId="0" applyNumberFormat="1" applyFont="1" applyFill="1" applyBorder="1" applyAlignment="1">
      <alignment/>
    </xf>
    <xf numFmtId="37" fontId="14" fillId="33" borderId="0" xfId="0" applyNumberFormat="1" applyFont="1" applyFill="1" applyBorder="1" applyAlignment="1">
      <alignment/>
    </xf>
    <xf numFmtId="171" fontId="4" fillId="0" borderId="15" xfId="0" applyNumberFormat="1" applyFont="1" applyFill="1" applyBorder="1" applyAlignment="1">
      <alignment/>
    </xf>
    <xf numFmtId="37" fontId="4" fillId="0" borderId="15" xfId="0" applyNumberFormat="1" applyFont="1" applyFill="1" applyBorder="1" applyAlignment="1">
      <alignment/>
    </xf>
    <xf numFmtId="168" fontId="5" fillId="0" borderId="11" xfId="0" applyNumberFormat="1" applyFont="1" applyFill="1" applyBorder="1" applyAlignment="1">
      <alignment/>
    </xf>
    <xf numFmtId="37" fontId="4" fillId="0" borderId="18" xfId="0" applyNumberFormat="1" applyFont="1" applyFill="1" applyBorder="1" applyAlignment="1">
      <alignment/>
    </xf>
    <xf numFmtId="171" fontId="7" fillId="0" borderId="15" xfId="0" applyNumberFormat="1" applyFont="1" applyFill="1" applyBorder="1" applyAlignment="1">
      <alignment/>
    </xf>
    <xf numFmtId="171" fontId="4" fillId="0" borderId="15" xfId="0" applyNumberFormat="1" applyFont="1" applyBorder="1" applyAlignment="1">
      <alignment/>
    </xf>
    <xf numFmtId="171" fontId="3" fillId="0" borderId="15" xfId="0" applyNumberFormat="1" applyFont="1" applyBorder="1" applyAlignment="1">
      <alignment horizontal="right"/>
    </xf>
    <xf numFmtId="171" fontId="4" fillId="0" borderId="15" xfId="0" applyNumberFormat="1" applyFont="1" applyBorder="1" applyAlignment="1">
      <alignment horizontal="right"/>
    </xf>
    <xf numFmtId="171" fontId="3" fillId="0" borderId="15" xfId="0" applyNumberFormat="1" applyFont="1" applyFill="1" applyBorder="1" applyAlignment="1">
      <alignment/>
    </xf>
    <xf numFmtId="171" fontId="4" fillId="0" borderId="18" xfId="0" applyNumberFormat="1" applyFont="1" applyBorder="1" applyAlignment="1">
      <alignment horizontal="right"/>
    </xf>
    <xf numFmtId="171" fontId="4" fillId="0" borderId="19" xfId="0" applyNumberFormat="1" applyFont="1" applyBorder="1" applyAlignment="1">
      <alignment horizontal="right"/>
    </xf>
    <xf numFmtId="171" fontId="4" fillId="0" borderId="20" xfId="0" applyNumberFormat="1" applyFont="1" applyBorder="1" applyAlignment="1">
      <alignment horizontal="right"/>
    </xf>
    <xf numFmtId="167" fontId="6" fillId="33" borderId="0" xfId="57" applyNumberFormat="1" applyFont="1" applyFill="1" applyBorder="1" applyAlignment="1">
      <alignment horizontal="right"/>
    </xf>
    <xf numFmtId="39" fontId="6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left" indent="2"/>
    </xf>
    <xf numFmtId="171" fontId="6" fillId="33" borderId="22" xfId="0" applyNumberFormat="1" applyFont="1" applyFill="1" applyBorder="1" applyAlignment="1">
      <alignment horizontal="right"/>
    </xf>
    <xf numFmtId="37" fontId="6" fillId="0" borderId="14" xfId="0" applyNumberFormat="1" applyFont="1" applyBorder="1" applyAlignment="1">
      <alignment horizontal="left" indent="1"/>
    </xf>
    <xf numFmtId="37" fontId="6" fillId="0" borderId="15" xfId="0" applyNumberFormat="1" applyFont="1" applyBorder="1" applyAlignment="1">
      <alignment horizontal="left" indent="1"/>
    </xf>
    <xf numFmtId="171" fontId="6" fillId="33" borderId="0" xfId="0" applyNumberFormat="1" applyFont="1" applyFill="1" applyBorder="1" applyAlignment="1">
      <alignment horizontal="center"/>
    </xf>
    <xf numFmtId="170" fontId="6" fillId="33" borderId="0" xfId="0" applyNumberFormat="1" applyFont="1" applyFill="1" applyBorder="1" applyAlignment="1">
      <alignment horizontal="center"/>
    </xf>
    <xf numFmtId="174" fontId="6" fillId="33" borderId="0" xfId="0" applyNumberFormat="1" applyFont="1" applyFill="1" applyBorder="1" applyAlignment="1">
      <alignment horizontal="right"/>
    </xf>
    <xf numFmtId="176" fontId="4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5" fontId="3" fillId="0" borderId="0" xfId="0" applyNumberFormat="1" applyFont="1" applyBorder="1" applyAlignment="1">
      <alignment horizontal="center"/>
    </xf>
    <xf numFmtId="164" fontId="6" fillId="34" borderId="17" xfId="57" applyNumberFormat="1" applyFont="1" applyFill="1" applyBorder="1" applyAlignment="1">
      <alignment horizontal="right"/>
    </xf>
    <xf numFmtId="37" fontId="5" fillId="33" borderId="28" xfId="0" applyNumberFormat="1" applyFont="1" applyFill="1" applyBorder="1" applyAlignment="1">
      <alignment horizontal="right"/>
    </xf>
    <xf numFmtId="37" fontId="5" fillId="33" borderId="29" xfId="0" applyNumberFormat="1" applyFont="1" applyFill="1" applyBorder="1" applyAlignment="1">
      <alignment horizontal="right"/>
    </xf>
    <xf numFmtId="37" fontId="5" fillId="0" borderId="30" xfId="0" applyNumberFormat="1" applyFont="1" applyBorder="1" applyAlignment="1">
      <alignment horizontal="left"/>
    </xf>
    <xf numFmtId="39" fontId="5" fillId="35" borderId="30" xfId="0" applyNumberFormat="1" applyFont="1" applyFill="1" applyBorder="1" applyAlignment="1">
      <alignment horizontal="center"/>
    </xf>
    <xf numFmtId="37" fontId="5" fillId="35" borderId="29" xfId="0" applyNumberFormat="1" applyFont="1" applyFill="1" applyBorder="1" applyAlignment="1">
      <alignment horizontal="center"/>
    </xf>
    <xf numFmtId="37" fontId="5" fillId="35" borderId="31" xfId="0" applyNumberFormat="1" applyFont="1" applyFill="1" applyBorder="1" applyAlignment="1">
      <alignment/>
    </xf>
    <xf numFmtId="37" fontId="5" fillId="33" borderId="30" xfId="0" applyNumberFormat="1" applyFont="1" applyFill="1" applyBorder="1" applyAlignment="1">
      <alignment/>
    </xf>
    <xf numFmtId="37" fontId="5" fillId="33" borderId="29" xfId="0" applyNumberFormat="1" applyFont="1" applyFill="1" applyBorder="1" applyAlignment="1">
      <alignment/>
    </xf>
    <xf numFmtId="37" fontId="5" fillId="33" borderId="31" xfId="0" applyNumberFormat="1" applyFont="1" applyFill="1" applyBorder="1" applyAlignment="1">
      <alignment/>
    </xf>
    <xf numFmtId="39" fontId="5" fillId="0" borderId="30" xfId="0" applyNumberFormat="1" applyFont="1" applyFill="1" applyBorder="1" applyAlignment="1">
      <alignment/>
    </xf>
    <xf numFmtId="39" fontId="5" fillId="0" borderId="29" xfId="0" applyNumberFormat="1" applyFont="1" applyFill="1" applyBorder="1" applyAlignment="1">
      <alignment/>
    </xf>
    <xf numFmtId="39" fontId="5" fillId="0" borderId="31" xfId="0" applyNumberFormat="1" applyFont="1" applyFill="1" applyBorder="1" applyAlignment="1">
      <alignment/>
    </xf>
    <xf numFmtId="37" fontId="5" fillId="0" borderId="29" xfId="0" applyNumberFormat="1" applyFont="1" applyFill="1" applyBorder="1" applyAlignment="1">
      <alignment/>
    </xf>
    <xf numFmtId="37" fontId="5" fillId="0" borderId="29" xfId="0" applyNumberFormat="1" applyFont="1" applyBorder="1" applyAlignment="1">
      <alignment/>
    </xf>
    <xf numFmtId="37" fontId="15" fillId="33" borderId="0" xfId="0" applyNumberFormat="1" applyFont="1" applyFill="1" applyAlignment="1">
      <alignment horizontal="left"/>
    </xf>
    <xf numFmtId="37" fontId="16" fillId="33" borderId="0" xfId="0" applyNumberFormat="1" applyFont="1" applyFill="1" applyAlignment="1">
      <alignment horizontal="right"/>
    </xf>
    <xf numFmtId="37" fontId="16" fillId="0" borderId="0" xfId="0" applyNumberFormat="1" applyFont="1" applyAlignment="1">
      <alignment horizontal="center"/>
    </xf>
    <xf numFmtId="37" fontId="16" fillId="0" borderId="0" xfId="0" applyNumberFormat="1" applyFont="1" applyFill="1" applyAlignment="1">
      <alignment horizontal="right"/>
    </xf>
    <xf numFmtId="37" fontId="16" fillId="0" borderId="0" xfId="0" applyNumberFormat="1" applyFont="1" applyAlignment="1">
      <alignment/>
    </xf>
    <xf numFmtId="37" fontId="16" fillId="0" borderId="0" xfId="0" applyNumberFormat="1" applyFont="1" applyBorder="1" applyAlignment="1">
      <alignment/>
    </xf>
    <xf numFmtId="37" fontId="16" fillId="33" borderId="0" xfId="0" applyNumberFormat="1" applyFont="1" applyFill="1" applyAlignment="1">
      <alignment horizontal="left"/>
    </xf>
    <xf numFmtId="37" fontId="16" fillId="0" borderId="0" xfId="0" applyNumberFormat="1" applyFont="1" applyFill="1" applyBorder="1" applyAlignment="1">
      <alignment horizontal="right"/>
    </xf>
    <xf numFmtId="9" fontId="17" fillId="33" borderId="0" xfId="57" applyFont="1" applyFill="1" applyBorder="1" applyAlignment="1">
      <alignment horizontal="right"/>
    </xf>
    <xf numFmtId="37" fontId="16" fillId="33" borderId="11" xfId="0" applyNumberFormat="1" applyFont="1" applyFill="1" applyBorder="1" applyAlignment="1">
      <alignment horizontal="left"/>
    </xf>
    <xf numFmtId="37" fontId="16" fillId="33" borderId="12" xfId="0" applyNumberFormat="1" applyFont="1" applyFill="1" applyBorder="1" applyAlignment="1">
      <alignment horizontal="right"/>
    </xf>
    <xf numFmtId="37" fontId="16" fillId="0" borderId="12" xfId="0" applyNumberFormat="1" applyFont="1" applyBorder="1" applyAlignment="1">
      <alignment horizontal="center"/>
    </xf>
    <xf numFmtId="9" fontId="17" fillId="33" borderId="12" xfId="57" applyFont="1" applyFill="1" applyBorder="1" applyAlignment="1">
      <alignment horizontal="right"/>
    </xf>
    <xf numFmtId="37" fontId="16" fillId="0" borderId="13" xfId="0" applyNumberFormat="1" applyFont="1" applyBorder="1" applyAlignment="1">
      <alignment/>
    </xf>
    <xf numFmtId="37" fontId="17" fillId="33" borderId="15" xfId="0" applyNumberFormat="1" applyFont="1" applyFill="1" applyBorder="1" applyAlignment="1">
      <alignment horizontal="left"/>
    </xf>
    <xf numFmtId="37" fontId="16" fillId="33" borderId="0" xfId="0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center"/>
    </xf>
    <xf numFmtId="1" fontId="17" fillId="37" borderId="21" xfId="57" applyNumberFormat="1" applyFont="1" applyFill="1" applyBorder="1" applyAlignment="1">
      <alignment horizontal="center"/>
    </xf>
    <xf numFmtId="37" fontId="17" fillId="0" borderId="16" xfId="0" applyNumberFormat="1" applyFont="1" applyBorder="1" applyAlignment="1">
      <alignment/>
    </xf>
    <xf numFmtId="37" fontId="16" fillId="33" borderId="15" xfId="0" applyNumberFormat="1" applyFont="1" applyFill="1" applyBorder="1" applyAlignment="1">
      <alignment horizontal="left"/>
    </xf>
    <xf numFmtId="1" fontId="17" fillId="33" borderId="12" xfId="57" applyNumberFormat="1" applyFont="1" applyFill="1" applyBorder="1" applyAlignment="1">
      <alignment horizontal="right"/>
    </xf>
    <xf numFmtId="37" fontId="16" fillId="0" borderId="16" xfId="0" applyNumberFormat="1" applyFont="1" applyBorder="1" applyAlignment="1">
      <alignment/>
    </xf>
    <xf numFmtId="37" fontId="17" fillId="33" borderId="15" xfId="0" applyNumberFormat="1" applyFont="1" applyFill="1" applyBorder="1" applyAlignment="1">
      <alignment horizontal="left" indent="1"/>
    </xf>
    <xf numFmtId="9" fontId="17" fillId="33" borderId="19" xfId="57" applyFont="1" applyFill="1" applyBorder="1" applyAlignment="1">
      <alignment horizontal="right"/>
    </xf>
    <xf numFmtId="37" fontId="17" fillId="0" borderId="0" xfId="0" applyNumberFormat="1" applyFont="1" applyBorder="1" applyAlignment="1">
      <alignment/>
    </xf>
    <xf numFmtId="37" fontId="17" fillId="0" borderId="0" xfId="0" applyNumberFormat="1" applyFont="1" applyAlignment="1">
      <alignment horizontal="center"/>
    </xf>
    <xf numFmtId="37" fontId="16" fillId="33" borderId="14" xfId="0" applyNumberFormat="1" applyFont="1" applyFill="1" applyBorder="1" applyAlignment="1">
      <alignment horizontal="left" indent="2"/>
    </xf>
    <xf numFmtId="37" fontId="17" fillId="37" borderId="25" xfId="0" applyNumberFormat="1" applyFont="1" applyFill="1" applyBorder="1" applyAlignment="1">
      <alignment horizontal="right"/>
    </xf>
    <xf numFmtId="9" fontId="16" fillId="37" borderId="23" xfId="57" applyNumberFormat="1" applyFont="1" applyFill="1" applyBorder="1" applyAlignment="1">
      <alignment horizontal="center"/>
    </xf>
    <xf numFmtId="9" fontId="16" fillId="37" borderId="22" xfId="57" applyFont="1" applyFill="1" applyBorder="1" applyAlignment="1">
      <alignment horizontal="center"/>
    </xf>
    <xf numFmtId="9" fontId="16" fillId="37" borderId="24" xfId="57" applyFont="1" applyFill="1" applyBorder="1" applyAlignment="1">
      <alignment horizontal="center"/>
    </xf>
    <xf numFmtId="9" fontId="17" fillId="34" borderId="0" xfId="57" applyFont="1" applyFill="1" applyAlignment="1">
      <alignment horizontal="center"/>
    </xf>
    <xf numFmtId="37" fontId="17" fillId="37" borderId="26" xfId="0" applyNumberFormat="1" applyFont="1" applyFill="1" applyBorder="1" applyAlignment="1">
      <alignment horizontal="right"/>
    </xf>
    <xf numFmtId="37" fontId="17" fillId="37" borderId="27" xfId="0" applyNumberFormat="1" applyFont="1" applyFill="1" applyBorder="1" applyAlignment="1">
      <alignment horizontal="right"/>
    </xf>
    <xf numFmtId="37" fontId="17" fillId="33" borderId="15" xfId="0" applyNumberFormat="1" applyFont="1" applyFill="1" applyBorder="1" applyAlignment="1">
      <alignment horizontal="left" indent="2"/>
    </xf>
    <xf numFmtId="37" fontId="17" fillId="33" borderId="0" xfId="0" applyNumberFormat="1" applyFont="1" applyFill="1" applyBorder="1" applyAlignment="1">
      <alignment horizontal="right"/>
    </xf>
    <xf numFmtId="37" fontId="17" fillId="0" borderId="0" xfId="0" applyNumberFormat="1" applyFont="1" applyBorder="1" applyAlignment="1">
      <alignment horizontal="center"/>
    </xf>
    <xf numFmtId="37" fontId="17" fillId="34" borderId="21" xfId="0" applyNumberFormat="1" applyFont="1" applyFill="1" applyBorder="1" applyAlignment="1">
      <alignment horizontal="right"/>
    </xf>
    <xf numFmtId="37" fontId="17" fillId="0" borderId="0" xfId="0" applyNumberFormat="1" applyFont="1" applyAlignment="1">
      <alignment/>
    </xf>
    <xf numFmtId="37" fontId="16" fillId="33" borderId="15" xfId="0" applyNumberFormat="1" applyFont="1" applyFill="1" applyBorder="1" applyAlignment="1">
      <alignment horizontal="left" indent="1"/>
    </xf>
    <xf numFmtId="37" fontId="16" fillId="33" borderId="15" xfId="0" applyNumberFormat="1" applyFont="1" applyFill="1" applyBorder="1" applyAlignment="1">
      <alignment horizontal="left" indent="2"/>
    </xf>
    <xf numFmtId="3" fontId="17" fillId="37" borderId="21" xfId="57" applyNumberFormat="1" applyFont="1" applyFill="1" applyBorder="1" applyAlignment="1">
      <alignment horizontal="right"/>
    </xf>
    <xf numFmtId="9" fontId="16" fillId="37" borderId="23" xfId="57" applyFont="1" applyFill="1" applyBorder="1" applyAlignment="1">
      <alignment horizontal="center"/>
    </xf>
    <xf numFmtId="9" fontId="17" fillId="34" borderId="21" xfId="57" applyFont="1" applyFill="1" applyBorder="1" applyAlignment="1">
      <alignment horizontal="center"/>
    </xf>
    <xf numFmtId="3" fontId="17" fillId="37" borderId="17" xfId="57" applyNumberFormat="1" applyFont="1" applyFill="1" applyBorder="1" applyAlignment="1">
      <alignment horizontal="right"/>
    </xf>
    <xf numFmtId="9" fontId="17" fillId="34" borderId="17" xfId="57" applyFont="1" applyFill="1" applyBorder="1" applyAlignment="1">
      <alignment horizontal="center"/>
    </xf>
    <xf numFmtId="9" fontId="17" fillId="37" borderId="17" xfId="57" applyFont="1" applyFill="1" applyBorder="1" applyAlignment="1">
      <alignment horizontal="right"/>
    </xf>
    <xf numFmtId="9" fontId="17" fillId="37" borderId="21" xfId="57" applyFont="1" applyFill="1" applyBorder="1" applyAlignment="1">
      <alignment horizontal="right"/>
    </xf>
    <xf numFmtId="37" fontId="17" fillId="37" borderId="21" xfId="0" applyNumberFormat="1" applyFont="1" applyFill="1" applyBorder="1" applyAlignment="1">
      <alignment horizontal="right"/>
    </xf>
    <xf numFmtId="4" fontId="17" fillId="37" borderId="17" xfId="57" applyNumberFormat="1" applyFont="1" applyFill="1" applyBorder="1" applyAlignment="1">
      <alignment horizontal="right"/>
    </xf>
    <xf numFmtId="4" fontId="17" fillId="34" borderId="17" xfId="57" applyNumberFormat="1" applyFont="1" applyFill="1" applyBorder="1" applyAlignment="1">
      <alignment horizontal="right"/>
    </xf>
    <xf numFmtId="171" fontId="16" fillId="34" borderId="23" xfId="0" applyNumberFormat="1" applyFont="1" applyFill="1" applyBorder="1" applyAlignment="1">
      <alignment horizontal="center"/>
    </xf>
    <xf numFmtId="171" fontId="16" fillId="34" borderId="22" xfId="0" applyNumberFormat="1" applyFont="1" applyFill="1" applyBorder="1" applyAlignment="1">
      <alignment horizontal="center"/>
    </xf>
    <xf numFmtId="171" fontId="16" fillId="34" borderId="24" xfId="0" applyNumberFormat="1" applyFont="1" applyFill="1" applyBorder="1" applyAlignment="1">
      <alignment horizontal="center"/>
    </xf>
    <xf numFmtId="171" fontId="17" fillId="34" borderId="17" xfId="0" applyNumberFormat="1" applyFont="1" applyFill="1" applyBorder="1" applyAlignment="1">
      <alignment horizontal="center"/>
    </xf>
    <xf numFmtId="37" fontId="17" fillId="33" borderId="18" xfId="0" applyNumberFormat="1" applyFont="1" applyFill="1" applyBorder="1" applyAlignment="1">
      <alignment horizontal="left" indent="1"/>
    </xf>
    <xf numFmtId="37" fontId="16" fillId="33" borderId="19" xfId="0" applyNumberFormat="1" applyFont="1" applyFill="1" applyBorder="1" applyAlignment="1">
      <alignment horizontal="right"/>
    </xf>
    <xf numFmtId="37" fontId="16" fillId="0" borderId="19" xfId="0" applyNumberFormat="1" applyFont="1" applyBorder="1" applyAlignment="1">
      <alignment horizontal="center"/>
    </xf>
    <xf numFmtId="4" fontId="17" fillId="33" borderId="19" xfId="57" applyNumberFormat="1" applyFont="1" applyFill="1" applyBorder="1" applyAlignment="1">
      <alignment horizontal="right"/>
    </xf>
    <xf numFmtId="37" fontId="16" fillId="0" borderId="20" xfId="0" applyNumberFormat="1" applyFont="1" applyBorder="1" applyAlignment="1">
      <alignment/>
    </xf>
    <xf numFmtId="37" fontId="15" fillId="33" borderId="15" xfId="0" applyNumberFormat="1" applyFont="1" applyFill="1" applyBorder="1" applyAlignment="1">
      <alignment horizontal="left"/>
    </xf>
    <xf numFmtId="1" fontId="17" fillId="33" borderId="22" xfId="57" applyNumberFormat="1" applyFont="1" applyFill="1" applyBorder="1" applyAlignment="1">
      <alignment horizontal="right"/>
    </xf>
    <xf numFmtId="9" fontId="17" fillId="33" borderId="22" xfId="57" applyFont="1" applyFill="1" applyBorder="1" applyAlignment="1">
      <alignment horizontal="right"/>
    </xf>
    <xf numFmtId="9" fontId="16" fillId="34" borderId="21" xfId="57" applyFont="1" applyFill="1" applyBorder="1" applyAlignment="1">
      <alignment horizontal="center"/>
    </xf>
    <xf numFmtId="166" fontId="17" fillId="33" borderId="22" xfId="57" applyNumberFormat="1" applyFont="1" applyFill="1" applyBorder="1" applyAlignment="1">
      <alignment horizontal="right"/>
    </xf>
    <xf numFmtId="166" fontId="17" fillId="37" borderId="21" xfId="57" applyNumberFormat="1" applyFont="1" applyFill="1" applyBorder="1" applyAlignment="1">
      <alignment horizontal="right"/>
    </xf>
    <xf numFmtId="169" fontId="16" fillId="0" borderId="0" xfId="57" applyNumberFormat="1" applyFont="1" applyAlignment="1">
      <alignment/>
    </xf>
    <xf numFmtId="37" fontId="17" fillId="33" borderId="0" xfId="0" applyNumberFormat="1" applyFont="1" applyFill="1" applyBorder="1" applyAlignment="1">
      <alignment/>
    </xf>
    <xf numFmtId="9" fontId="17" fillId="33" borderId="0" xfId="57" applyFont="1" applyFill="1" applyBorder="1" applyAlignment="1">
      <alignment horizontal="center"/>
    </xf>
    <xf numFmtId="37" fontId="17" fillId="33" borderId="0" xfId="0" applyNumberFormat="1" applyFont="1" applyFill="1" applyAlignment="1">
      <alignment/>
    </xf>
    <xf numFmtId="1" fontId="17" fillId="37" borderId="21" xfId="57" applyNumberFormat="1" applyFont="1" applyFill="1" applyBorder="1" applyAlignment="1">
      <alignment horizontal="right"/>
    </xf>
    <xf numFmtId="176" fontId="16" fillId="0" borderId="0" xfId="0" applyNumberFormat="1" applyFont="1" applyAlignment="1">
      <alignment/>
    </xf>
    <xf numFmtId="9" fontId="16" fillId="33" borderId="0" xfId="57" applyFont="1" applyFill="1" applyBorder="1" applyAlignment="1">
      <alignment horizontal="center"/>
    </xf>
    <xf numFmtId="9" fontId="16" fillId="0" borderId="0" xfId="57" applyFont="1" applyAlignment="1">
      <alignment/>
    </xf>
    <xf numFmtId="37" fontId="16" fillId="33" borderId="0" xfId="0" applyNumberFormat="1" applyFont="1" applyFill="1" applyBorder="1" applyAlignment="1">
      <alignment/>
    </xf>
    <xf numFmtId="166" fontId="17" fillId="34" borderId="21" xfId="57" applyNumberFormat="1" applyFont="1" applyFill="1" applyBorder="1" applyAlignment="1">
      <alignment horizontal="right"/>
    </xf>
    <xf numFmtId="166" fontId="17" fillId="34" borderId="23" xfId="57" applyNumberFormat="1" applyFont="1" applyFill="1" applyBorder="1" applyAlignment="1">
      <alignment horizontal="center"/>
    </xf>
    <xf numFmtId="175" fontId="17" fillId="0" borderId="0" xfId="0" applyNumberFormat="1" applyFont="1" applyAlignment="1">
      <alignment/>
    </xf>
    <xf numFmtId="176" fontId="17" fillId="0" borderId="0" xfId="0" applyNumberFormat="1" applyFont="1" applyAlignment="1">
      <alignment/>
    </xf>
    <xf numFmtId="37" fontId="17" fillId="0" borderId="14" xfId="0" applyNumberFormat="1" applyFont="1" applyBorder="1" applyAlignment="1">
      <alignment horizontal="center"/>
    </xf>
    <xf numFmtId="37" fontId="17" fillId="0" borderId="16" xfId="0" applyNumberFormat="1" applyFont="1" applyBorder="1" applyAlignment="1">
      <alignment horizontal="center"/>
    </xf>
    <xf numFmtId="175" fontId="17" fillId="0" borderId="0" xfId="0" applyNumberFormat="1" applyFont="1" applyBorder="1" applyAlignment="1">
      <alignment horizontal="center"/>
    </xf>
    <xf numFmtId="37" fontId="16" fillId="0" borderId="19" xfId="0" applyNumberFormat="1" applyFont="1" applyFill="1" applyBorder="1" applyAlignment="1">
      <alignment/>
    </xf>
    <xf numFmtId="37" fontId="17" fillId="0" borderId="14" xfId="0" applyNumberFormat="1" applyFont="1" applyBorder="1" applyAlignment="1">
      <alignment/>
    </xf>
    <xf numFmtId="9" fontId="17" fillId="34" borderId="21" xfId="57" applyNumberFormat="1" applyFont="1" applyFill="1" applyBorder="1" applyAlignment="1">
      <alignment horizontal="right"/>
    </xf>
    <xf numFmtId="37" fontId="17" fillId="0" borderId="14" xfId="0" applyNumberFormat="1" applyFont="1" applyBorder="1" applyAlignment="1">
      <alignment horizontal="left" indent="1"/>
    </xf>
    <xf numFmtId="171" fontId="17" fillId="34" borderId="21" xfId="0" applyNumberFormat="1" applyFont="1" applyFill="1" applyBorder="1" applyAlignment="1">
      <alignment horizontal="right"/>
    </xf>
    <xf numFmtId="171" fontId="17" fillId="33" borderId="16" xfId="0" applyNumberFormat="1" applyFont="1" applyFill="1" applyBorder="1" applyAlignment="1">
      <alignment horizontal="left"/>
    </xf>
    <xf numFmtId="174" fontId="17" fillId="33" borderId="0" xfId="0" applyNumberFormat="1" applyFont="1" applyFill="1" applyBorder="1" applyAlignment="1">
      <alignment horizontal="right"/>
    </xf>
    <xf numFmtId="37" fontId="17" fillId="0" borderId="0" xfId="0" applyNumberFormat="1" applyFont="1" applyBorder="1" applyAlignment="1">
      <alignment horizontal="right"/>
    </xf>
    <xf numFmtId="171" fontId="17" fillId="34" borderId="21" xfId="0" applyNumberFormat="1" applyFont="1" applyFill="1" applyBorder="1" applyAlignment="1">
      <alignment horizontal="center"/>
    </xf>
    <xf numFmtId="170" fontId="17" fillId="34" borderId="23" xfId="0" applyNumberFormat="1" applyFont="1" applyFill="1" applyBorder="1" applyAlignment="1">
      <alignment horizontal="center"/>
    </xf>
    <xf numFmtId="170" fontId="17" fillId="34" borderId="22" xfId="0" applyNumberFormat="1" applyFont="1" applyFill="1" applyBorder="1" applyAlignment="1">
      <alignment horizontal="center"/>
    </xf>
    <xf numFmtId="170" fontId="17" fillId="34" borderId="24" xfId="0" applyNumberFormat="1" applyFont="1" applyFill="1" applyBorder="1" applyAlignment="1">
      <alignment horizontal="center"/>
    </xf>
    <xf numFmtId="37" fontId="17" fillId="0" borderId="0" xfId="0" applyNumberFormat="1" applyFont="1" applyAlignment="1">
      <alignment horizontal="right"/>
    </xf>
    <xf numFmtId="37" fontId="17" fillId="0" borderId="15" xfId="0" applyNumberFormat="1" applyFont="1" applyBorder="1" applyAlignment="1">
      <alignment horizontal="left" indent="1"/>
    </xf>
    <xf numFmtId="37" fontId="17" fillId="0" borderId="0" xfId="0" applyNumberFormat="1" applyFont="1" applyBorder="1" applyAlignment="1">
      <alignment horizontal="left" indent="2"/>
    </xf>
    <xf numFmtId="171" fontId="17" fillId="33" borderId="22" xfId="0" applyNumberFormat="1" applyFont="1" applyFill="1" applyBorder="1" applyAlignment="1">
      <alignment horizontal="right"/>
    </xf>
    <xf numFmtId="171" fontId="17" fillId="33" borderId="0" xfId="0" applyNumberFormat="1" applyFont="1" applyFill="1" applyBorder="1" applyAlignment="1">
      <alignment horizontal="right"/>
    </xf>
    <xf numFmtId="171" fontId="17" fillId="33" borderId="0" xfId="0" applyNumberFormat="1" applyFont="1" applyFill="1" applyBorder="1" applyAlignment="1">
      <alignment horizontal="center"/>
    </xf>
    <xf numFmtId="170" fontId="17" fillId="33" borderId="0" xfId="0" applyNumberFormat="1" applyFont="1" applyFill="1" applyBorder="1" applyAlignment="1">
      <alignment horizontal="center"/>
    </xf>
    <xf numFmtId="3" fontId="17" fillId="34" borderId="21" xfId="57" applyNumberFormat="1" applyFont="1" applyFill="1" applyBorder="1" applyAlignment="1">
      <alignment horizontal="right"/>
    </xf>
    <xf numFmtId="37" fontId="16" fillId="33" borderId="18" xfId="0" applyNumberFormat="1" applyFont="1" applyFill="1" applyBorder="1" applyAlignment="1">
      <alignment horizontal="left"/>
    </xf>
    <xf numFmtId="37" fontId="16" fillId="33" borderId="20" xfId="0" applyNumberFormat="1" applyFont="1" applyFill="1" applyBorder="1" applyAlignment="1">
      <alignment/>
    </xf>
    <xf numFmtId="37" fontId="16" fillId="33" borderId="0" xfId="0" applyNumberFormat="1" applyFont="1" applyFill="1" applyBorder="1" applyAlignment="1">
      <alignment horizontal="left"/>
    </xf>
    <xf numFmtId="37" fontId="16" fillId="33" borderId="13" xfId="0" applyNumberFormat="1" applyFont="1" applyFill="1" applyBorder="1" applyAlignment="1">
      <alignment/>
    </xf>
    <xf numFmtId="37" fontId="16" fillId="33" borderId="16" xfId="0" applyNumberFormat="1" applyFont="1" applyFill="1" applyBorder="1" applyAlignment="1">
      <alignment/>
    </xf>
    <xf numFmtId="4" fontId="17" fillId="34" borderId="21" xfId="57" applyNumberFormat="1" applyFont="1" applyFill="1" applyBorder="1" applyAlignment="1">
      <alignment horizontal="right"/>
    </xf>
    <xf numFmtId="9" fontId="17" fillId="34" borderId="17" xfId="57" applyFont="1" applyFill="1" applyBorder="1" applyAlignment="1">
      <alignment horizontal="right"/>
    </xf>
    <xf numFmtId="40" fontId="17" fillId="34" borderId="21" xfId="57" applyNumberFormat="1" applyFont="1" applyFill="1" applyBorder="1" applyAlignment="1">
      <alignment horizontal="right"/>
    </xf>
    <xf numFmtId="40" fontId="17" fillId="33" borderId="22" xfId="57" applyNumberFormat="1" applyFont="1" applyFill="1" applyBorder="1" applyAlignment="1">
      <alignment horizontal="right"/>
    </xf>
    <xf numFmtId="165" fontId="17" fillId="34" borderId="21" xfId="57" applyNumberFormat="1" applyFont="1" applyFill="1" applyBorder="1" applyAlignment="1">
      <alignment horizontal="right"/>
    </xf>
    <xf numFmtId="165" fontId="17" fillId="33" borderId="16" xfId="57" applyNumberFormat="1" applyFont="1" applyFill="1" applyBorder="1" applyAlignment="1">
      <alignment horizontal="left"/>
    </xf>
    <xf numFmtId="37" fontId="17" fillId="33" borderId="16" xfId="0" applyNumberFormat="1" applyFont="1" applyFill="1" applyBorder="1" applyAlignment="1">
      <alignment/>
    </xf>
    <xf numFmtId="3" fontId="17" fillId="33" borderId="22" xfId="57" applyNumberFormat="1" applyFont="1" applyFill="1" applyBorder="1" applyAlignment="1">
      <alignment horizontal="right"/>
    </xf>
    <xf numFmtId="38" fontId="17" fillId="34" borderId="21" xfId="57" applyNumberFormat="1" applyFont="1" applyFill="1" applyBorder="1" applyAlignment="1">
      <alignment horizontal="right"/>
    </xf>
    <xf numFmtId="37" fontId="16" fillId="33" borderId="15" xfId="0" applyNumberFormat="1" applyFont="1" applyFill="1" applyBorder="1" applyAlignment="1">
      <alignment horizontal="left" indent="3"/>
    </xf>
    <xf numFmtId="38" fontId="16" fillId="34" borderId="21" xfId="57" applyNumberFormat="1" applyFont="1" applyFill="1" applyBorder="1" applyAlignment="1">
      <alignment horizontal="right"/>
    </xf>
    <xf numFmtId="37" fontId="16" fillId="0" borderId="16" xfId="0" applyNumberFormat="1" applyFont="1" applyBorder="1" applyAlignment="1">
      <alignment horizontal="left"/>
    </xf>
    <xf numFmtId="37" fontId="16" fillId="0" borderId="0" xfId="0" applyNumberFormat="1" applyFont="1" applyBorder="1" applyAlignment="1">
      <alignment horizontal="left"/>
    </xf>
    <xf numFmtId="37" fontId="16" fillId="0" borderId="0" xfId="0" applyNumberFormat="1" applyFont="1" applyAlignment="1">
      <alignment horizontal="left"/>
    </xf>
    <xf numFmtId="165" fontId="17" fillId="33" borderId="12" xfId="57" applyNumberFormat="1" applyFont="1" applyFill="1" applyBorder="1" applyAlignment="1">
      <alignment horizontal="right"/>
    </xf>
    <xf numFmtId="165" fontId="17" fillId="33" borderId="19" xfId="57" applyNumberFormat="1" applyFont="1" applyFill="1" applyBorder="1" applyAlignment="1">
      <alignment horizontal="right"/>
    </xf>
    <xf numFmtId="37" fontId="16" fillId="33" borderId="0" xfId="0" applyNumberFormat="1" applyFont="1" applyFill="1" applyBorder="1" applyAlignment="1">
      <alignment horizontal="left" indent="2"/>
    </xf>
    <xf numFmtId="39" fontId="17" fillId="0" borderId="0" xfId="0" applyNumberFormat="1" applyFont="1" applyBorder="1" applyAlignment="1">
      <alignment/>
    </xf>
    <xf numFmtId="171" fontId="17" fillId="0" borderId="0" xfId="0" applyNumberFormat="1" applyFont="1" applyBorder="1" applyAlignment="1">
      <alignment/>
    </xf>
    <xf numFmtId="167" fontId="17" fillId="33" borderId="0" xfId="57" applyNumberFormat="1" applyFont="1" applyFill="1" applyBorder="1" applyAlignment="1">
      <alignment horizontal="right"/>
    </xf>
    <xf numFmtId="165" fontId="17" fillId="33" borderId="22" xfId="57" applyNumberFormat="1" applyFont="1" applyFill="1" applyBorder="1" applyAlignment="1">
      <alignment horizontal="right"/>
    </xf>
    <xf numFmtId="172" fontId="17" fillId="34" borderId="21" xfId="57" applyNumberFormat="1" applyFont="1" applyFill="1" applyBorder="1" applyAlignment="1">
      <alignment horizontal="right"/>
    </xf>
    <xf numFmtId="10" fontId="16" fillId="0" borderId="0" xfId="57" applyNumberFormat="1" applyFont="1" applyAlignment="1">
      <alignment/>
    </xf>
    <xf numFmtId="37" fontId="16" fillId="33" borderId="18" xfId="0" applyNumberFormat="1" applyFont="1" applyFill="1" applyBorder="1" applyAlignment="1">
      <alignment horizontal="left" indent="5"/>
    </xf>
    <xf numFmtId="172" fontId="17" fillId="33" borderId="19" xfId="57" applyNumberFormat="1" applyFont="1" applyFill="1" applyBorder="1" applyAlignment="1">
      <alignment horizontal="right"/>
    </xf>
    <xf numFmtId="37" fontId="17" fillId="33" borderId="0" xfId="0" applyNumberFormat="1" applyFont="1" applyFill="1" applyAlignment="1">
      <alignment horizontal="left"/>
    </xf>
    <xf numFmtId="37" fontId="17" fillId="33" borderId="0" xfId="0" applyNumberFormat="1" applyFont="1" applyFill="1" applyAlignment="1">
      <alignment horizontal="right"/>
    </xf>
    <xf numFmtId="37" fontId="16" fillId="33" borderId="10" xfId="0" applyNumberFormat="1" applyFont="1" applyFill="1" applyBorder="1" applyAlignment="1">
      <alignment horizontal="right"/>
    </xf>
    <xf numFmtId="37" fontId="17" fillId="0" borderId="10" xfId="0" applyNumberFormat="1" applyFont="1" applyBorder="1" applyAlignment="1">
      <alignment/>
    </xf>
    <xf numFmtId="37" fontId="17" fillId="0" borderId="11" xfId="0" applyNumberFormat="1" applyFont="1" applyBorder="1" applyAlignment="1">
      <alignment horizontal="center"/>
    </xf>
    <xf numFmtId="37" fontId="17" fillId="0" borderId="12" xfId="0" applyNumberFormat="1" applyFont="1" applyBorder="1" applyAlignment="1">
      <alignment horizontal="center"/>
    </xf>
    <xf numFmtId="37" fontId="17" fillId="0" borderId="13" xfId="0" applyNumberFormat="1" applyFont="1" applyBorder="1" applyAlignment="1">
      <alignment horizontal="center"/>
    </xf>
    <xf numFmtId="168" fontId="17" fillId="33" borderId="11" xfId="0" applyNumberFormat="1" applyFont="1" applyFill="1" applyBorder="1" applyAlignment="1">
      <alignment/>
    </xf>
    <xf numFmtId="168" fontId="17" fillId="33" borderId="12" xfId="0" applyNumberFormat="1" applyFont="1" applyFill="1" applyBorder="1" applyAlignment="1">
      <alignment/>
    </xf>
    <xf numFmtId="168" fontId="17" fillId="33" borderId="13" xfId="0" applyNumberFormat="1" applyFont="1" applyFill="1" applyBorder="1" applyAlignment="1">
      <alignment/>
    </xf>
    <xf numFmtId="168" fontId="17" fillId="0" borderId="11" xfId="0" applyNumberFormat="1" applyFont="1" applyFill="1" applyBorder="1" applyAlignment="1">
      <alignment/>
    </xf>
    <xf numFmtId="168" fontId="17" fillId="0" borderId="12" xfId="0" applyNumberFormat="1" applyFont="1" applyFill="1" applyBorder="1" applyAlignment="1">
      <alignment/>
    </xf>
    <xf numFmtId="168" fontId="17" fillId="0" borderId="13" xfId="0" applyNumberFormat="1" applyFont="1" applyFill="1" applyBorder="1" applyAlignment="1">
      <alignment/>
    </xf>
    <xf numFmtId="37" fontId="17" fillId="33" borderId="14" xfId="0" applyNumberFormat="1" applyFont="1" applyFill="1" applyBorder="1" applyAlignment="1">
      <alignment horizontal="right"/>
    </xf>
    <xf numFmtId="37" fontId="17" fillId="0" borderId="15" xfId="0" applyNumberFormat="1" applyFont="1" applyBorder="1" applyAlignment="1">
      <alignment horizontal="center"/>
    </xf>
    <xf numFmtId="37" fontId="16" fillId="0" borderId="15" xfId="0" applyNumberFormat="1" applyFont="1" applyFill="1" applyBorder="1" applyAlignment="1">
      <alignment/>
    </xf>
    <xf numFmtId="37" fontId="16" fillId="0" borderId="0" xfId="0" applyNumberFormat="1" applyFont="1" applyFill="1" applyBorder="1" applyAlignment="1">
      <alignment/>
    </xf>
    <xf numFmtId="37" fontId="16" fillId="0" borderId="16" xfId="0" applyNumberFormat="1" applyFont="1" applyFill="1" applyBorder="1" applyAlignment="1">
      <alignment/>
    </xf>
    <xf numFmtId="37" fontId="17" fillId="0" borderId="17" xfId="0" applyNumberFormat="1" applyFont="1" applyBorder="1" applyAlignment="1">
      <alignment/>
    </xf>
    <xf numFmtId="37" fontId="17" fillId="0" borderId="18" xfId="0" applyNumberFormat="1" applyFont="1" applyBorder="1" applyAlignment="1">
      <alignment horizontal="center"/>
    </xf>
    <xf numFmtId="37" fontId="17" fillId="0" borderId="19" xfId="0" applyNumberFormat="1" applyFont="1" applyBorder="1" applyAlignment="1">
      <alignment horizontal="center"/>
    </xf>
    <xf numFmtId="37" fontId="17" fillId="0" borderId="20" xfId="0" applyNumberFormat="1" applyFont="1" applyBorder="1" applyAlignment="1">
      <alignment horizontal="center"/>
    </xf>
    <xf numFmtId="37" fontId="16" fillId="33" borderId="18" xfId="0" applyNumberFormat="1" applyFont="1" applyFill="1" applyBorder="1" applyAlignment="1">
      <alignment/>
    </xf>
    <xf numFmtId="37" fontId="16" fillId="33" borderId="19" xfId="0" applyNumberFormat="1" applyFont="1" applyFill="1" applyBorder="1" applyAlignment="1">
      <alignment/>
    </xf>
    <xf numFmtId="37" fontId="17" fillId="33" borderId="11" xfId="0" applyNumberFormat="1" applyFont="1" applyFill="1" applyBorder="1" applyAlignment="1">
      <alignment horizontal="right"/>
    </xf>
    <xf numFmtId="37" fontId="17" fillId="33" borderId="10" xfId="0" applyNumberFormat="1" applyFont="1" applyFill="1" applyBorder="1" applyAlignment="1">
      <alignment horizontal="right"/>
    </xf>
    <xf numFmtId="37" fontId="17" fillId="36" borderId="12" xfId="0" applyNumberFormat="1" applyFont="1" applyFill="1" applyBorder="1" applyAlignment="1">
      <alignment horizontal="center"/>
    </xf>
    <xf numFmtId="37" fontId="17" fillId="36" borderId="13" xfId="0" applyNumberFormat="1" applyFont="1" applyFill="1" applyBorder="1" applyAlignment="1">
      <alignment horizontal="center"/>
    </xf>
    <xf numFmtId="37" fontId="16" fillId="33" borderId="11" xfId="0" applyNumberFormat="1" applyFont="1" applyFill="1" applyBorder="1" applyAlignment="1">
      <alignment/>
    </xf>
    <xf numFmtId="37" fontId="16" fillId="33" borderId="12" xfId="0" applyNumberFormat="1" applyFont="1" applyFill="1" applyBorder="1" applyAlignment="1">
      <alignment/>
    </xf>
    <xf numFmtId="37" fontId="17" fillId="33" borderId="15" xfId="0" applyNumberFormat="1" applyFont="1" applyFill="1" applyBorder="1" applyAlignment="1">
      <alignment horizontal="center"/>
    </xf>
    <xf numFmtId="37" fontId="17" fillId="33" borderId="14" xfId="0" applyNumberFormat="1" applyFont="1" applyFill="1" applyBorder="1" applyAlignment="1">
      <alignment horizontal="center"/>
    </xf>
    <xf numFmtId="37" fontId="17" fillId="36" borderId="0" xfId="0" applyNumberFormat="1" applyFont="1" applyFill="1" applyBorder="1" applyAlignment="1">
      <alignment horizontal="center"/>
    </xf>
    <xf numFmtId="171" fontId="17" fillId="36" borderId="0" xfId="0" applyNumberFormat="1" applyFont="1" applyFill="1" applyBorder="1" applyAlignment="1">
      <alignment horizontal="center"/>
    </xf>
    <xf numFmtId="171" fontId="17" fillId="36" borderId="16" xfId="0" applyNumberFormat="1" applyFont="1" applyFill="1" applyBorder="1" applyAlignment="1">
      <alignment horizontal="center"/>
    </xf>
    <xf numFmtId="171" fontId="17" fillId="34" borderId="23" xfId="0" applyNumberFormat="1" applyFont="1" applyFill="1" applyBorder="1" applyAlignment="1">
      <alignment horizontal="center"/>
    </xf>
    <xf numFmtId="171" fontId="17" fillId="34" borderId="22" xfId="0" applyNumberFormat="1" applyFont="1" applyFill="1" applyBorder="1" applyAlignment="1">
      <alignment horizontal="center"/>
    </xf>
    <xf numFmtId="171" fontId="17" fillId="34" borderId="24" xfId="0" applyNumberFormat="1" applyFont="1" applyFill="1" applyBorder="1" applyAlignment="1">
      <alignment horizontal="center"/>
    </xf>
    <xf numFmtId="37" fontId="17" fillId="33" borderId="15" xfId="0" applyNumberFormat="1" applyFont="1" applyFill="1" applyBorder="1" applyAlignment="1">
      <alignment horizontal="right"/>
    </xf>
    <xf numFmtId="37" fontId="17" fillId="33" borderId="17" xfId="0" applyNumberFormat="1" applyFont="1" applyFill="1" applyBorder="1" applyAlignment="1">
      <alignment horizontal="right"/>
    </xf>
    <xf numFmtId="171" fontId="16" fillId="33" borderId="15" xfId="0" applyNumberFormat="1" applyFont="1" applyFill="1" applyBorder="1" applyAlignment="1">
      <alignment/>
    </xf>
    <xf numFmtId="171" fontId="16" fillId="33" borderId="0" xfId="0" applyNumberFormat="1" applyFont="1" applyFill="1" applyBorder="1" applyAlignment="1">
      <alignment/>
    </xf>
    <xf numFmtId="171" fontId="16" fillId="33" borderId="16" xfId="0" applyNumberFormat="1" applyFont="1" applyFill="1" applyBorder="1" applyAlignment="1">
      <alignment/>
    </xf>
    <xf numFmtId="171" fontId="16" fillId="0" borderId="23" xfId="0" applyNumberFormat="1" applyFont="1" applyFill="1" applyBorder="1" applyAlignment="1">
      <alignment/>
    </xf>
    <xf numFmtId="171" fontId="16" fillId="0" borderId="22" xfId="0" applyNumberFormat="1" applyFont="1" applyFill="1" applyBorder="1" applyAlignment="1">
      <alignment/>
    </xf>
    <xf numFmtId="171" fontId="16" fillId="0" borderId="24" xfId="0" applyNumberFormat="1" applyFont="1" applyFill="1" applyBorder="1" applyAlignment="1">
      <alignment/>
    </xf>
    <xf numFmtId="37" fontId="15" fillId="0" borderId="10" xfId="0" applyNumberFormat="1" applyFont="1" applyBorder="1" applyAlignment="1">
      <alignment/>
    </xf>
    <xf numFmtId="171" fontId="17" fillId="33" borderId="11" xfId="0" applyNumberFormat="1" applyFont="1" applyFill="1" applyBorder="1" applyAlignment="1">
      <alignment horizontal="center"/>
    </xf>
    <xf numFmtId="171" fontId="17" fillId="33" borderId="12" xfId="0" applyNumberFormat="1" applyFont="1" applyFill="1" applyBorder="1" applyAlignment="1">
      <alignment horizontal="center"/>
    </xf>
    <xf numFmtId="171" fontId="17" fillId="33" borderId="13" xfId="0" applyNumberFormat="1" applyFont="1" applyFill="1" applyBorder="1" applyAlignment="1">
      <alignment horizontal="center"/>
    </xf>
    <xf numFmtId="171" fontId="16" fillId="33" borderId="11" xfId="0" applyNumberFormat="1" applyFont="1" applyFill="1" applyBorder="1" applyAlignment="1">
      <alignment/>
    </xf>
    <xf numFmtId="171" fontId="16" fillId="33" borderId="12" xfId="0" applyNumberFormat="1" applyFont="1" applyFill="1" applyBorder="1" applyAlignment="1">
      <alignment/>
    </xf>
    <xf numFmtId="171" fontId="16" fillId="33" borderId="13" xfId="0" applyNumberFormat="1" applyFont="1" applyFill="1" applyBorder="1" applyAlignment="1">
      <alignment/>
    </xf>
    <xf numFmtId="171" fontId="16" fillId="0" borderId="15" xfId="0" applyNumberFormat="1" applyFont="1" applyFill="1" applyBorder="1" applyAlignment="1">
      <alignment/>
    </xf>
    <xf numFmtId="171" fontId="16" fillId="0" borderId="0" xfId="0" applyNumberFormat="1" applyFont="1" applyFill="1" applyBorder="1" applyAlignment="1">
      <alignment/>
    </xf>
    <xf numFmtId="171" fontId="16" fillId="0" borderId="16" xfId="0" applyNumberFormat="1" applyFont="1" applyFill="1" applyBorder="1" applyAlignment="1">
      <alignment/>
    </xf>
    <xf numFmtId="37" fontId="16" fillId="0" borderId="14" xfId="0" applyNumberFormat="1" applyFont="1" applyBorder="1" applyAlignment="1">
      <alignment horizontal="left" indent="2"/>
    </xf>
    <xf numFmtId="171" fontId="16" fillId="0" borderId="15" xfId="0" applyNumberFormat="1" applyFont="1" applyBorder="1" applyAlignment="1">
      <alignment/>
    </xf>
    <xf numFmtId="171" fontId="16" fillId="0" borderId="0" xfId="0" applyNumberFormat="1" applyFont="1" applyBorder="1" applyAlignment="1">
      <alignment/>
    </xf>
    <xf numFmtId="171" fontId="16" fillId="0" borderId="16" xfId="0" applyNumberFormat="1" applyFont="1" applyBorder="1" applyAlignment="1">
      <alignment/>
    </xf>
    <xf numFmtId="171" fontId="17" fillId="35" borderId="15" xfId="0" applyNumberFormat="1" applyFont="1" applyFill="1" applyBorder="1" applyAlignment="1">
      <alignment/>
    </xf>
    <xf numFmtId="171" fontId="17" fillId="35" borderId="0" xfId="0" applyNumberFormat="1" applyFont="1" applyFill="1" applyBorder="1" applyAlignment="1">
      <alignment/>
    </xf>
    <xf numFmtId="171" fontId="17" fillId="35" borderId="16" xfId="0" applyNumberFormat="1" applyFont="1" applyFill="1" applyBorder="1" applyAlignment="1">
      <alignment/>
    </xf>
    <xf numFmtId="171" fontId="17" fillId="34" borderId="15" xfId="0" applyNumberFormat="1" applyFont="1" applyFill="1" applyBorder="1" applyAlignment="1">
      <alignment horizontal="right"/>
    </xf>
    <xf numFmtId="171" fontId="17" fillId="34" borderId="0" xfId="0" applyNumberFormat="1" applyFont="1" applyFill="1" applyBorder="1" applyAlignment="1">
      <alignment horizontal="right"/>
    </xf>
    <xf numFmtId="171" fontId="17" fillId="34" borderId="16" xfId="0" applyNumberFormat="1" applyFont="1" applyFill="1" applyBorder="1" applyAlignment="1">
      <alignment horizontal="right"/>
    </xf>
    <xf numFmtId="171" fontId="17" fillId="0" borderId="15" xfId="0" applyNumberFormat="1" applyFont="1" applyBorder="1" applyAlignment="1">
      <alignment horizontal="right"/>
    </xf>
    <xf numFmtId="171" fontId="17" fillId="0" borderId="0" xfId="0" applyNumberFormat="1" applyFont="1" applyBorder="1" applyAlignment="1">
      <alignment horizontal="right"/>
    </xf>
    <xf numFmtId="171" fontId="17" fillId="0" borderId="16" xfId="0" applyNumberFormat="1" applyFont="1" applyBorder="1" applyAlignment="1">
      <alignment horizontal="right"/>
    </xf>
    <xf numFmtId="37" fontId="16" fillId="33" borderId="14" xfId="0" applyNumberFormat="1" applyFont="1" applyFill="1" applyBorder="1" applyAlignment="1">
      <alignment horizontal="right"/>
    </xf>
    <xf numFmtId="37" fontId="16" fillId="0" borderId="14" xfId="0" applyNumberFormat="1" applyFont="1" applyFill="1" applyBorder="1" applyAlignment="1">
      <alignment horizontal="left" indent="2"/>
    </xf>
    <xf numFmtId="171" fontId="16" fillId="35" borderId="15" xfId="0" applyNumberFormat="1" applyFont="1" applyFill="1" applyBorder="1" applyAlignment="1">
      <alignment/>
    </xf>
    <xf numFmtId="171" fontId="16" fillId="35" borderId="0" xfId="0" applyNumberFormat="1" applyFont="1" applyFill="1" applyBorder="1" applyAlignment="1">
      <alignment/>
    </xf>
    <xf numFmtId="171" fontId="16" fillId="35" borderId="16" xfId="0" applyNumberFormat="1" applyFont="1" applyFill="1" applyBorder="1" applyAlignment="1">
      <alignment/>
    </xf>
    <xf numFmtId="171" fontId="16" fillId="34" borderId="15" xfId="0" applyNumberFormat="1" applyFont="1" applyFill="1" applyBorder="1" applyAlignment="1">
      <alignment/>
    </xf>
    <xf numFmtId="171" fontId="16" fillId="34" borderId="0" xfId="0" applyNumberFormat="1" applyFont="1" applyFill="1" applyBorder="1" applyAlignment="1">
      <alignment/>
    </xf>
    <xf numFmtId="171" fontId="16" fillId="34" borderId="16" xfId="0" applyNumberFormat="1" applyFont="1" applyFill="1" applyBorder="1" applyAlignment="1">
      <alignment/>
    </xf>
    <xf numFmtId="171" fontId="16" fillId="0" borderId="15" xfId="0" applyNumberFormat="1" applyFont="1" applyBorder="1" applyAlignment="1">
      <alignment horizontal="right"/>
    </xf>
    <xf numFmtId="171" fontId="16" fillId="0" borderId="0" xfId="0" applyNumberFormat="1" applyFont="1" applyBorder="1" applyAlignment="1">
      <alignment horizontal="right"/>
    </xf>
    <xf numFmtId="171" fontId="16" fillId="0" borderId="16" xfId="0" applyNumberFormat="1" applyFont="1" applyBorder="1" applyAlignment="1">
      <alignment horizontal="right"/>
    </xf>
    <xf numFmtId="9" fontId="16" fillId="33" borderId="14" xfId="57" applyFont="1" applyFill="1" applyBorder="1" applyAlignment="1">
      <alignment horizontal="right"/>
    </xf>
    <xf numFmtId="171" fontId="17" fillId="33" borderId="15" xfId="0" applyNumberFormat="1" applyFont="1" applyFill="1" applyBorder="1" applyAlignment="1">
      <alignment horizontal="center"/>
    </xf>
    <xf numFmtId="171" fontId="17" fillId="33" borderId="16" xfId="0" applyNumberFormat="1" applyFont="1" applyFill="1" applyBorder="1" applyAlignment="1">
      <alignment horizontal="center"/>
    </xf>
    <xf numFmtId="171" fontId="17" fillId="35" borderId="15" xfId="0" applyNumberFormat="1" applyFont="1" applyFill="1" applyBorder="1" applyAlignment="1">
      <alignment/>
    </xf>
    <xf numFmtId="171" fontId="17" fillId="35" borderId="0" xfId="0" applyNumberFormat="1" applyFont="1" applyFill="1" applyBorder="1" applyAlignment="1">
      <alignment/>
    </xf>
    <xf numFmtId="171" fontId="17" fillId="35" borderId="16" xfId="0" applyNumberFormat="1" applyFont="1" applyFill="1" applyBorder="1" applyAlignment="1">
      <alignment/>
    </xf>
    <xf numFmtId="171" fontId="17" fillId="34" borderId="15" xfId="0" applyNumberFormat="1" applyFont="1" applyFill="1" applyBorder="1" applyAlignment="1">
      <alignment/>
    </xf>
    <xf numFmtId="171" fontId="17" fillId="34" borderId="0" xfId="0" applyNumberFormat="1" applyFont="1" applyFill="1" applyBorder="1" applyAlignment="1">
      <alignment/>
    </xf>
    <xf numFmtId="171" fontId="17" fillId="34" borderId="16" xfId="0" applyNumberFormat="1" applyFont="1" applyFill="1" applyBorder="1" applyAlignment="1">
      <alignment/>
    </xf>
    <xf numFmtId="171" fontId="17" fillId="0" borderId="15" xfId="0" applyNumberFormat="1" applyFont="1" applyFill="1" applyBorder="1" applyAlignment="1">
      <alignment/>
    </xf>
    <xf numFmtId="171" fontId="17" fillId="0" borderId="0" xfId="0" applyNumberFormat="1" applyFont="1" applyFill="1" applyBorder="1" applyAlignment="1">
      <alignment/>
    </xf>
    <xf numFmtId="171" fontId="17" fillId="0" borderId="16" xfId="0" applyNumberFormat="1" applyFont="1" applyFill="1" applyBorder="1" applyAlignment="1">
      <alignment/>
    </xf>
    <xf numFmtId="170" fontId="16" fillId="33" borderId="14" xfId="0" applyNumberFormat="1" applyFont="1" applyFill="1" applyBorder="1" applyAlignment="1">
      <alignment horizontal="right"/>
    </xf>
    <xf numFmtId="39" fontId="16" fillId="33" borderId="14" xfId="0" applyNumberFormat="1" applyFont="1" applyFill="1" applyBorder="1" applyAlignment="1">
      <alignment horizontal="right"/>
    </xf>
    <xf numFmtId="171" fontId="16" fillId="33" borderId="18" xfId="0" applyNumberFormat="1" applyFont="1" applyFill="1" applyBorder="1" applyAlignment="1">
      <alignment/>
    </xf>
    <xf numFmtId="171" fontId="16" fillId="33" borderId="19" xfId="0" applyNumberFormat="1" applyFont="1" applyFill="1" applyBorder="1" applyAlignment="1">
      <alignment/>
    </xf>
    <xf numFmtId="171" fontId="16" fillId="33" borderId="20" xfId="0" applyNumberFormat="1" applyFont="1" applyFill="1" applyBorder="1" applyAlignment="1">
      <alignment/>
    </xf>
    <xf numFmtId="171" fontId="16" fillId="0" borderId="18" xfId="0" applyNumberFormat="1" applyFont="1" applyBorder="1" applyAlignment="1">
      <alignment horizontal="right"/>
    </xf>
    <xf numFmtId="171" fontId="16" fillId="0" borderId="19" xfId="0" applyNumberFormat="1" applyFont="1" applyBorder="1" applyAlignment="1">
      <alignment horizontal="right"/>
    </xf>
    <xf numFmtId="171" fontId="16" fillId="0" borderId="20" xfId="0" applyNumberFormat="1" applyFont="1" applyBorder="1" applyAlignment="1">
      <alignment horizontal="right"/>
    </xf>
    <xf numFmtId="37" fontId="15" fillId="0" borderId="10" xfId="0" applyNumberFormat="1" applyFont="1" applyBorder="1" applyAlignment="1">
      <alignment horizontal="left"/>
    </xf>
    <xf numFmtId="171" fontId="16" fillId="33" borderId="11" xfId="0" applyNumberFormat="1" applyFont="1" applyFill="1" applyBorder="1" applyAlignment="1">
      <alignment horizontal="right"/>
    </xf>
    <xf numFmtId="171" fontId="16" fillId="33" borderId="12" xfId="0" applyNumberFormat="1" applyFont="1" applyFill="1" applyBorder="1" applyAlignment="1">
      <alignment horizontal="right"/>
    </xf>
    <xf numFmtId="171" fontId="16" fillId="33" borderId="13" xfId="0" applyNumberFormat="1" applyFont="1" applyFill="1" applyBorder="1" applyAlignment="1">
      <alignment horizontal="right"/>
    </xf>
    <xf numFmtId="37" fontId="17" fillId="0" borderId="14" xfId="0" applyNumberFormat="1" applyFont="1" applyBorder="1" applyAlignment="1">
      <alignment horizontal="left"/>
    </xf>
    <xf numFmtId="171" fontId="16" fillId="33" borderId="15" xfId="0" applyNumberFormat="1" applyFont="1" applyFill="1" applyBorder="1" applyAlignment="1">
      <alignment horizontal="right"/>
    </xf>
    <xf numFmtId="171" fontId="16" fillId="33" borderId="0" xfId="0" applyNumberFormat="1" applyFont="1" applyFill="1" applyBorder="1" applyAlignment="1">
      <alignment horizontal="right"/>
    </xf>
    <xf numFmtId="171" fontId="16" fillId="33" borderId="16" xfId="0" applyNumberFormat="1" applyFont="1" applyFill="1" applyBorder="1" applyAlignment="1">
      <alignment horizontal="right"/>
    </xf>
    <xf numFmtId="171" fontId="17" fillId="33" borderId="15" xfId="0" applyNumberFormat="1" applyFont="1" applyFill="1" applyBorder="1" applyAlignment="1">
      <alignment/>
    </xf>
    <xf numFmtId="171" fontId="17" fillId="33" borderId="0" xfId="0" applyNumberFormat="1" applyFont="1" applyFill="1" applyBorder="1" applyAlignment="1">
      <alignment/>
    </xf>
    <xf numFmtId="171" fontId="17" fillId="33" borderId="16" xfId="0" applyNumberFormat="1" applyFont="1" applyFill="1" applyBorder="1" applyAlignment="1">
      <alignment/>
    </xf>
    <xf numFmtId="171" fontId="17" fillId="34" borderId="15" xfId="0" applyNumberFormat="1" applyFont="1" applyFill="1" applyBorder="1" applyAlignment="1">
      <alignment/>
    </xf>
    <xf numFmtId="171" fontId="17" fillId="34" borderId="0" xfId="0" applyNumberFormat="1" applyFont="1" applyFill="1" applyBorder="1" applyAlignment="1">
      <alignment/>
    </xf>
    <xf numFmtId="171" fontId="17" fillId="34" borderId="16" xfId="0" applyNumberFormat="1" applyFont="1" applyFill="1" applyBorder="1" applyAlignment="1">
      <alignment/>
    </xf>
    <xf numFmtId="37" fontId="16" fillId="33" borderId="14" xfId="57" applyNumberFormat="1" applyFont="1" applyFill="1" applyBorder="1" applyAlignment="1">
      <alignment horizontal="right"/>
    </xf>
    <xf numFmtId="37" fontId="16" fillId="0" borderId="0" xfId="0" applyNumberFormat="1" applyFont="1" applyFill="1" applyAlignment="1">
      <alignment/>
    </xf>
    <xf numFmtId="171" fontId="16" fillId="34" borderId="15" xfId="0" applyNumberFormat="1" applyFont="1" applyFill="1" applyBorder="1" applyAlignment="1">
      <alignment horizontal="right"/>
    </xf>
    <xf numFmtId="171" fontId="16" fillId="34" borderId="0" xfId="0" applyNumberFormat="1" applyFont="1" applyFill="1" applyBorder="1" applyAlignment="1">
      <alignment horizontal="right"/>
    </xf>
    <xf numFmtId="171" fontId="16" fillId="34" borderId="16" xfId="0" applyNumberFormat="1" applyFont="1" applyFill="1" applyBorder="1" applyAlignment="1">
      <alignment horizontal="right"/>
    </xf>
    <xf numFmtId="171" fontId="16" fillId="36" borderId="0" xfId="0" applyNumberFormat="1" applyFont="1" applyFill="1" applyBorder="1" applyAlignment="1">
      <alignment horizontal="right"/>
    </xf>
    <xf numFmtId="171" fontId="16" fillId="36" borderId="16" xfId="0" applyNumberFormat="1" applyFont="1" applyFill="1" applyBorder="1" applyAlignment="1">
      <alignment horizontal="right"/>
    </xf>
    <xf numFmtId="37" fontId="16" fillId="0" borderId="14" xfId="0" applyNumberFormat="1" applyFont="1" applyBorder="1" applyAlignment="1">
      <alignment horizontal="left" indent="3"/>
    </xf>
    <xf numFmtId="37" fontId="16" fillId="33" borderId="17" xfId="0" applyNumberFormat="1" applyFont="1" applyFill="1" applyBorder="1" applyAlignment="1">
      <alignment horizontal="right"/>
    </xf>
    <xf numFmtId="37" fontId="17" fillId="0" borderId="17" xfId="0" applyNumberFormat="1" applyFont="1" applyBorder="1" applyAlignment="1">
      <alignment horizontal="left" indent="1"/>
    </xf>
    <xf numFmtId="171" fontId="17" fillId="33" borderId="18" xfId="0" applyNumberFormat="1" applyFont="1" applyFill="1" applyBorder="1" applyAlignment="1">
      <alignment/>
    </xf>
    <xf numFmtId="171" fontId="17" fillId="33" borderId="19" xfId="0" applyNumberFormat="1" applyFont="1" applyFill="1" applyBorder="1" applyAlignment="1">
      <alignment/>
    </xf>
    <xf numFmtId="171" fontId="17" fillId="33" borderId="20" xfId="0" applyNumberFormat="1" applyFont="1" applyFill="1" applyBorder="1" applyAlignment="1">
      <alignment/>
    </xf>
    <xf numFmtId="37" fontId="17" fillId="33" borderId="10" xfId="0" applyNumberFormat="1" applyFont="1" applyFill="1" applyBorder="1" applyAlignment="1">
      <alignment horizontal="left" indent="1"/>
    </xf>
    <xf numFmtId="171" fontId="17" fillId="35" borderId="11" xfId="0" applyNumberFormat="1" applyFont="1" applyFill="1" applyBorder="1" applyAlignment="1">
      <alignment/>
    </xf>
    <xf numFmtId="171" fontId="17" fillId="35" borderId="12" xfId="0" applyNumberFormat="1" applyFont="1" applyFill="1" applyBorder="1" applyAlignment="1">
      <alignment/>
    </xf>
    <xf numFmtId="171" fontId="17" fillId="35" borderId="13" xfId="0" applyNumberFormat="1" applyFont="1" applyFill="1" applyBorder="1" applyAlignment="1">
      <alignment/>
    </xf>
    <xf numFmtId="171" fontId="17" fillId="33" borderId="11" xfId="0" applyNumberFormat="1" applyFont="1" applyFill="1" applyBorder="1" applyAlignment="1">
      <alignment/>
    </xf>
    <xf numFmtId="171" fontId="17" fillId="33" borderId="12" xfId="0" applyNumberFormat="1" applyFont="1" applyFill="1" applyBorder="1" applyAlignment="1">
      <alignment/>
    </xf>
    <xf numFmtId="171" fontId="17" fillId="33" borderId="13" xfId="0" applyNumberFormat="1" applyFont="1" applyFill="1" applyBorder="1" applyAlignment="1">
      <alignment/>
    </xf>
    <xf numFmtId="37" fontId="16" fillId="0" borderId="14" xfId="0" applyNumberFormat="1" applyFont="1" applyBorder="1" applyAlignment="1">
      <alignment horizontal="left"/>
    </xf>
    <xf numFmtId="37" fontId="16" fillId="0" borderId="14" xfId="0" applyNumberFormat="1" applyFont="1" applyBorder="1" applyAlignment="1">
      <alignment horizontal="left" indent="1"/>
    </xf>
    <xf numFmtId="37" fontId="16" fillId="0" borderId="17" xfId="0" applyNumberFormat="1" applyFont="1" applyBorder="1" applyAlignment="1">
      <alignment horizontal="left" indent="1"/>
    </xf>
    <xf numFmtId="37" fontId="16" fillId="35" borderId="18" xfId="0" applyNumberFormat="1" applyFont="1" applyFill="1" applyBorder="1" applyAlignment="1">
      <alignment/>
    </xf>
    <xf numFmtId="37" fontId="16" fillId="35" borderId="19" xfId="0" applyNumberFormat="1" applyFont="1" applyFill="1" applyBorder="1" applyAlignment="1">
      <alignment/>
    </xf>
    <xf numFmtId="37" fontId="16" fillId="35" borderId="20" xfId="0" applyNumberFormat="1" applyFont="1" applyFill="1" applyBorder="1" applyAlignment="1">
      <alignment/>
    </xf>
    <xf numFmtId="37" fontId="17" fillId="0" borderId="11" xfId="0" applyNumberFormat="1" applyFont="1" applyBorder="1" applyAlignment="1">
      <alignment horizontal="left"/>
    </xf>
    <xf numFmtId="37" fontId="17" fillId="35" borderId="11" xfId="0" applyNumberFormat="1" applyFont="1" applyFill="1" applyBorder="1" applyAlignment="1">
      <alignment horizontal="center"/>
    </xf>
    <xf numFmtId="37" fontId="17" fillId="35" borderId="12" xfId="0" applyNumberFormat="1" applyFont="1" applyFill="1" applyBorder="1" applyAlignment="1">
      <alignment horizontal="center"/>
    </xf>
    <xf numFmtId="37" fontId="17" fillId="35" borderId="13" xfId="0" applyNumberFormat="1" applyFont="1" applyFill="1" applyBorder="1" applyAlignment="1">
      <alignment/>
    </xf>
    <xf numFmtId="37" fontId="16" fillId="0" borderId="11" xfId="0" applyNumberFormat="1" applyFont="1" applyFill="1" applyBorder="1" applyAlignment="1">
      <alignment/>
    </xf>
    <xf numFmtId="37" fontId="16" fillId="0" borderId="12" xfId="0" applyNumberFormat="1" applyFont="1" applyFill="1" applyBorder="1" applyAlignment="1">
      <alignment/>
    </xf>
    <xf numFmtId="37" fontId="16" fillId="0" borderId="13" xfId="0" applyNumberFormat="1" applyFont="1" applyFill="1" applyBorder="1" applyAlignment="1">
      <alignment/>
    </xf>
    <xf numFmtId="171" fontId="17" fillId="33" borderId="14" xfId="0" applyNumberFormat="1" applyFont="1" applyFill="1" applyBorder="1" applyAlignment="1">
      <alignment horizontal="right"/>
    </xf>
    <xf numFmtId="171" fontId="17" fillId="0" borderId="15" xfId="0" applyNumberFormat="1" applyFont="1" applyBorder="1" applyAlignment="1">
      <alignment horizontal="left"/>
    </xf>
    <xf numFmtId="171" fontId="17" fillId="0" borderId="15" xfId="0" applyNumberFormat="1" applyFont="1" applyFill="1" applyBorder="1" applyAlignment="1">
      <alignment/>
    </xf>
    <xf numFmtId="171" fontId="17" fillId="0" borderId="0" xfId="0" applyNumberFormat="1" applyFont="1" applyFill="1" applyBorder="1" applyAlignment="1">
      <alignment/>
    </xf>
    <xf numFmtId="171" fontId="17" fillId="0" borderId="16" xfId="0" applyNumberFormat="1" applyFont="1" applyFill="1" applyBorder="1" applyAlignment="1">
      <alignment/>
    </xf>
    <xf numFmtId="171" fontId="17" fillId="0" borderId="0" xfId="0" applyNumberFormat="1" applyFont="1" applyFill="1" applyAlignment="1">
      <alignment/>
    </xf>
    <xf numFmtId="171" fontId="17" fillId="0" borderId="0" xfId="0" applyNumberFormat="1" applyFont="1" applyAlignment="1">
      <alignment/>
    </xf>
    <xf numFmtId="37" fontId="17" fillId="0" borderId="15" xfId="0" applyNumberFormat="1" applyFont="1" applyBorder="1" applyAlignment="1">
      <alignment horizontal="left"/>
    </xf>
    <xf numFmtId="37" fontId="17" fillId="35" borderId="15" xfId="0" applyNumberFormat="1" applyFont="1" applyFill="1" applyBorder="1" applyAlignment="1">
      <alignment/>
    </xf>
    <xf numFmtId="37" fontId="17" fillId="35" borderId="0" xfId="0" applyNumberFormat="1" applyFont="1" applyFill="1" applyBorder="1" applyAlignment="1">
      <alignment/>
    </xf>
    <xf numFmtId="37" fontId="17" fillId="35" borderId="16" xfId="0" applyNumberFormat="1" applyFont="1" applyFill="1" applyBorder="1" applyAlignment="1">
      <alignment/>
    </xf>
    <xf numFmtId="37" fontId="17" fillId="33" borderId="15" xfId="0" applyNumberFormat="1" applyFont="1" applyFill="1" applyBorder="1" applyAlignment="1">
      <alignment/>
    </xf>
    <xf numFmtId="37" fontId="17" fillId="0" borderId="15" xfId="0" applyNumberFormat="1" applyFont="1" applyFill="1" applyBorder="1" applyAlignment="1">
      <alignment/>
    </xf>
    <xf numFmtId="37" fontId="17" fillId="0" borderId="0" xfId="0" applyNumberFormat="1" applyFont="1" applyFill="1" applyBorder="1" applyAlignment="1">
      <alignment/>
    </xf>
    <xf numFmtId="37" fontId="17" fillId="0" borderId="16" xfId="0" applyNumberFormat="1" applyFont="1" applyFill="1" applyBorder="1" applyAlignment="1">
      <alignment/>
    </xf>
    <xf numFmtId="37" fontId="17" fillId="0" borderId="0" xfId="0" applyNumberFormat="1" applyFont="1" applyFill="1" applyAlignment="1">
      <alignment/>
    </xf>
    <xf numFmtId="9" fontId="17" fillId="33" borderId="14" xfId="57" applyFont="1" applyFill="1" applyBorder="1" applyAlignment="1">
      <alignment horizontal="right"/>
    </xf>
    <xf numFmtId="9" fontId="17" fillId="0" borderId="15" xfId="57" applyFont="1" applyBorder="1" applyAlignment="1">
      <alignment horizontal="left"/>
    </xf>
    <xf numFmtId="10" fontId="17" fillId="35" borderId="15" xfId="57" applyNumberFormat="1" applyFont="1" applyFill="1" applyBorder="1" applyAlignment="1">
      <alignment horizontal="center"/>
    </xf>
    <xf numFmtId="9" fontId="17" fillId="35" borderId="0" xfId="57" applyFont="1" applyFill="1" applyBorder="1" applyAlignment="1">
      <alignment/>
    </xf>
    <xf numFmtId="9" fontId="17" fillId="35" borderId="16" xfId="57" applyFont="1" applyFill="1" applyBorder="1" applyAlignment="1">
      <alignment/>
    </xf>
    <xf numFmtId="9" fontId="17" fillId="33" borderId="15" xfId="57" applyFont="1" applyFill="1" applyBorder="1" applyAlignment="1">
      <alignment/>
    </xf>
    <xf numFmtId="9" fontId="17" fillId="33" borderId="0" xfId="57" applyFont="1" applyFill="1" applyBorder="1" applyAlignment="1">
      <alignment/>
    </xf>
    <xf numFmtId="9" fontId="17" fillId="33" borderId="16" xfId="57" applyFont="1" applyFill="1" applyBorder="1" applyAlignment="1">
      <alignment/>
    </xf>
    <xf numFmtId="9" fontId="17" fillId="0" borderId="0" xfId="57" applyFont="1" applyAlignment="1">
      <alignment/>
    </xf>
    <xf numFmtId="39" fontId="17" fillId="35" borderId="15" xfId="0" applyNumberFormat="1" applyFont="1" applyFill="1" applyBorder="1" applyAlignment="1">
      <alignment horizontal="center"/>
    </xf>
    <xf numFmtId="37" fontId="17" fillId="35" borderId="0" xfId="0" applyNumberFormat="1" applyFont="1" applyFill="1" applyBorder="1" applyAlignment="1">
      <alignment horizontal="center"/>
    </xf>
    <xf numFmtId="39" fontId="17" fillId="0" borderId="15" xfId="0" applyNumberFormat="1" applyFont="1" applyFill="1" applyBorder="1" applyAlignment="1">
      <alignment/>
    </xf>
    <xf numFmtId="39" fontId="17" fillId="0" borderId="0" xfId="0" applyNumberFormat="1" applyFont="1" applyFill="1" applyBorder="1" applyAlignment="1">
      <alignment/>
    </xf>
    <xf numFmtId="39" fontId="17" fillId="0" borderId="16" xfId="0" applyNumberFormat="1" applyFont="1" applyFill="1" applyBorder="1" applyAlignment="1">
      <alignment/>
    </xf>
    <xf numFmtId="37" fontId="17" fillId="33" borderId="19" xfId="0" applyNumberFormat="1" applyFont="1" applyFill="1" applyBorder="1" applyAlignment="1">
      <alignment horizontal="right"/>
    </xf>
    <xf numFmtId="37" fontId="17" fillId="0" borderId="18" xfId="0" applyNumberFormat="1" applyFont="1" applyFill="1" applyBorder="1" applyAlignment="1">
      <alignment horizontal="left"/>
    </xf>
    <xf numFmtId="37" fontId="17" fillId="35" borderId="18" xfId="0" applyNumberFormat="1" applyFont="1" applyFill="1" applyBorder="1" applyAlignment="1">
      <alignment horizontal="center"/>
    </xf>
    <xf numFmtId="37" fontId="17" fillId="35" borderId="19" xfId="0" applyNumberFormat="1" applyFont="1" applyFill="1" applyBorder="1" applyAlignment="1">
      <alignment/>
    </xf>
    <xf numFmtId="37" fontId="17" fillId="35" borderId="20" xfId="0" applyNumberFormat="1" applyFont="1" applyFill="1" applyBorder="1" applyAlignment="1">
      <alignment/>
    </xf>
    <xf numFmtId="37" fontId="17" fillId="0" borderId="18" xfId="0" applyNumberFormat="1" applyFont="1" applyBorder="1" applyAlignment="1">
      <alignment/>
    </xf>
    <xf numFmtId="37" fontId="17" fillId="0" borderId="19" xfId="0" applyNumberFormat="1" applyFont="1" applyBorder="1" applyAlignment="1">
      <alignment/>
    </xf>
    <xf numFmtId="37" fontId="17" fillId="0" borderId="20" xfId="0" applyNumberFormat="1" applyFont="1" applyBorder="1" applyAlignment="1">
      <alignment/>
    </xf>
    <xf numFmtId="37" fontId="16" fillId="33" borderId="0" xfId="0" applyNumberFormat="1" applyFont="1" applyFill="1" applyBorder="1" applyAlignment="1">
      <alignment horizontal="right" indent="3"/>
    </xf>
    <xf numFmtId="37" fontId="17" fillId="0" borderId="0" xfId="0" applyNumberFormat="1" applyFont="1" applyFill="1" applyBorder="1" applyAlignment="1">
      <alignment horizontal="right"/>
    </xf>
    <xf numFmtId="37" fontId="17" fillId="33" borderId="0" xfId="0" applyNumberFormat="1" applyFont="1" applyFill="1" applyBorder="1" applyAlignment="1">
      <alignment horizontal="right" indent="2"/>
    </xf>
    <xf numFmtId="37" fontId="17" fillId="33" borderId="0" xfId="0" applyNumberFormat="1" applyFont="1" applyFill="1" applyBorder="1" applyAlignment="1">
      <alignment horizontal="right" indent="1"/>
    </xf>
    <xf numFmtId="173" fontId="17" fillId="0" borderId="0" xfId="0" applyNumberFormat="1" applyFont="1" applyBorder="1" applyAlignment="1">
      <alignment/>
    </xf>
    <xf numFmtId="37" fontId="18" fillId="33" borderId="11" xfId="0" applyNumberFormat="1" applyFont="1" applyFill="1" applyBorder="1" applyAlignment="1">
      <alignment horizontal="left"/>
    </xf>
    <xf numFmtId="37" fontId="18" fillId="33" borderId="12" xfId="0" applyNumberFormat="1" applyFont="1" applyFill="1" applyBorder="1" applyAlignment="1">
      <alignment horizontal="right"/>
    </xf>
    <xf numFmtId="37" fontId="18" fillId="0" borderId="12" xfId="0" applyNumberFormat="1" applyFont="1" applyBorder="1" applyAlignment="1">
      <alignment horizontal="center"/>
    </xf>
    <xf numFmtId="9" fontId="19" fillId="33" borderId="12" xfId="57" applyFont="1" applyFill="1" applyBorder="1" applyAlignment="1">
      <alignment horizontal="right"/>
    </xf>
    <xf numFmtId="37" fontId="18" fillId="0" borderId="13" xfId="0" applyNumberFormat="1" applyFont="1" applyBorder="1" applyAlignment="1">
      <alignment/>
    </xf>
    <xf numFmtId="37" fontId="18" fillId="0" borderId="0" xfId="0" applyNumberFormat="1" applyFont="1" applyAlignment="1">
      <alignment/>
    </xf>
    <xf numFmtId="37" fontId="18" fillId="0" borderId="0" xfId="0" applyNumberFormat="1" applyFont="1" applyBorder="1" applyAlignment="1">
      <alignment/>
    </xf>
    <xf numFmtId="37" fontId="19" fillId="33" borderId="15" xfId="0" applyNumberFormat="1" applyFont="1" applyFill="1" applyBorder="1" applyAlignment="1">
      <alignment horizontal="left"/>
    </xf>
    <xf numFmtId="37" fontId="18" fillId="33" borderId="0" xfId="0" applyNumberFormat="1" applyFont="1" applyFill="1" applyBorder="1" applyAlignment="1">
      <alignment horizontal="right"/>
    </xf>
    <xf numFmtId="37" fontId="18" fillId="0" borderId="0" xfId="0" applyNumberFormat="1" applyFont="1" applyBorder="1" applyAlignment="1">
      <alignment horizontal="center"/>
    </xf>
    <xf numFmtId="1" fontId="19" fillId="37" borderId="21" xfId="57" applyNumberFormat="1" applyFont="1" applyFill="1" applyBorder="1" applyAlignment="1">
      <alignment horizontal="center"/>
    </xf>
    <xf numFmtId="37" fontId="19" fillId="0" borderId="16" xfId="0" applyNumberFormat="1" applyFont="1" applyBorder="1" applyAlignment="1">
      <alignment/>
    </xf>
    <xf numFmtId="37" fontId="18" fillId="33" borderId="15" xfId="0" applyNumberFormat="1" applyFont="1" applyFill="1" applyBorder="1" applyAlignment="1">
      <alignment horizontal="left"/>
    </xf>
    <xf numFmtId="1" fontId="19" fillId="33" borderId="12" xfId="57" applyNumberFormat="1" applyFont="1" applyFill="1" applyBorder="1" applyAlignment="1">
      <alignment horizontal="right"/>
    </xf>
    <xf numFmtId="37" fontId="18" fillId="0" borderId="16" xfId="0" applyNumberFormat="1" applyFont="1" applyBorder="1" applyAlignment="1">
      <alignment/>
    </xf>
    <xf numFmtId="37" fontId="19" fillId="33" borderId="15" xfId="0" applyNumberFormat="1" applyFont="1" applyFill="1" applyBorder="1" applyAlignment="1">
      <alignment horizontal="left" indent="1"/>
    </xf>
    <xf numFmtId="9" fontId="19" fillId="33" borderId="19" xfId="57" applyFont="1" applyFill="1" applyBorder="1" applyAlignment="1">
      <alignment horizontal="right"/>
    </xf>
    <xf numFmtId="37" fontId="19" fillId="0" borderId="0" xfId="0" applyNumberFormat="1" applyFont="1" applyBorder="1" applyAlignment="1">
      <alignment/>
    </xf>
    <xf numFmtId="37" fontId="19" fillId="0" borderId="0" xfId="0" applyNumberFormat="1" applyFont="1" applyAlignment="1">
      <alignment horizontal="center"/>
    </xf>
    <xf numFmtId="37" fontId="18" fillId="33" borderId="14" xfId="0" applyNumberFormat="1" applyFont="1" applyFill="1" applyBorder="1" applyAlignment="1">
      <alignment horizontal="left" indent="2"/>
    </xf>
    <xf numFmtId="37" fontId="19" fillId="37" borderId="25" xfId="0" applyNumberFormat="1" applyFont="1" applyFill="1" applyBorder="1" applyAlignment="1">
      <alignment horizontal="right"/>
    </xf>
    <xf numFmtId="9" fontId="18" fillId="37" borderId="23" xfId="57" applyNumberFormat="1" applyFont="1" applyFill="1" applyBorder="1" applyAlignment="1">
      <alignment horizontal="center"/>
    </xf>
    <xf numFmtId="9" fontId="18" fillId="37" borderId="22" xfId="57" applyFont="1" applyFill="1" applyBorder="1" applyAlignment="1">
      <alignment horizontal="center"/>
    </xf>
    <xf numFmtId="9" fontId="18" fillId="37" borderId="24" xfId="57" applyFont="1" applyFill="1" applyBorder="1" applyAlignment="1">
      <alignment horizontal="center"/>
    </xf>
    <xf numFmtId="9" fontId="19" fillId="34" borderId="0" xfId="57" applyFont="1" applyFill="1" applyAlignment="1">
      <alignment horizontal="center"/>
    </xf>
    <xf numFmtId="37" fontId="19" fillId="37" borderId="26" xfId="0" applyNumberFormat="1" applyFont="1" applyFill="1" applyBorder="1" applyAlignment="1">
      <alignment horizontal="right"/>
    </xf>
    <xf numFmtId="37" fontId="19" fillId="37" borderId="27" xfId="0" applyNumberFormat="1" applyFont="1" applyFill="1" applyBorder="1" applyAlignment="1">
      <alignment horizontal="right"/>
    </xf>
    <xf numFmtId="37" fontId="19" fillId="33" borderId="15" xfId="0" applyNumberFormat="1" applyFont="1" applyFill="1" applyBorder="1" applyAlignment="1">
      <alignment horizontal="left" indent="2"/>
    </xf>
    <xf numFmtId="37" fontId="19" fillId="33" borderId="0" xfId="0" applyNumberFormat="1" applyFont="1" applyFill="1" applyBorder="1" applyAlignment="1">
      <alignment horizontal="right"/>
    </xf>
    <xf numFmtId="37" fontId="19" fillId="0" borderId="0" xfId="0" applyNumberFormat="1" applyFont="1" applyBorder="1" applyAlignment="1">
      <alignment horizontal="center"/>
    </xf>
    <xf numFmtId="37" fontId="19" fillId="34" borderId="21" xfId="0" applyNumberFormat="1" applyFont="1" applyFill="1" applyBorder="1" applyAlignment="1">
      <alignment horizontal="right"/>
    </xf>
    <xf numFmtId="37" fontId="19" fillId="0" borderId="0" xfId="0" applyNumberFormat="1" applyFont="1" applyAlignment="1">
      <alignment/>
    </xf>
    <xf numFmtId="37" fontId="18" fillId="33" borderId="15" xfId="0" applyNumberFormat="1" applyFont="1" applyFill="1" applyBorder="1" applyAlignment="1">
      <alignment horizontal="left" indent="1"/>
    </xf>
    <xf numFmtId="37" fontId="18" fillId="33" borderId="15" xfId="0" applyNumberFormat="1" applyFont="1" applyFill="1" applyBorder="1" applyAlignment="1">
      <alignment horizontal="left" indent="2"/>
    </xf>
    <xf numFmtId="3" fontId="19" fillId="37" borderId="21" xfId="57" applyNumberFormat="1" applyFont="1" applyFill="1" applyBorder="1" applyAlignment="1">
      <alignment horizontal="right"/>
    </xf>
    <xf numFmtId="9" fontId="18" fillId="37" borderId="23" xfId="57" applyFont="1" applyFill="1" applyBorder="1" applyAlignment="1">
      <alignment horizontal="center"/>
    </xf>
    <xf numFmtId="9" fontId="19" fillId="34" borderId="21" xfId="57" applyFont="1" applyFill="1" applyBorder="1" applyAlignment="1">
      <alignment horizontal="center"/>
    </xf>
    <xf numFmtId="3" fontId="19" fillId="37" borderId="17" xfId="57" applyNumberFormat="1" applyFont="1" applyFill="1" applyBorder="1" applyAlignment="1">
      <alignment horizontal="right"/>
    </xf>
    <xf numFmtId="9" fontId="19" fillId="34" borderId="17" xfId="57" applyFont="1" applyFill="1" applyBorder="1" applyAlignment="1">
      <alignment horizontal="center"/>
    </xf>
    <xf numFmtId="9" fontId="19" fillId="37" borderId="17" xfId="57" applyFont="1" applyFill="1" applyBorder="1" applyAlignment="1">
      <alignment horizontal="right"/>
    </xf>
    <xf numFmtId="9" fontId="19" fillId="37" borderId="21" xfId="57" applyFont="1" applyFill="1" applyBorder="1" applyAlignment="1">
      <alignment horizontal="right"/>
    </xf>
    <xf numFmtId="37" fontId="19" fillId="37" borderId="21" xfId="0" applyNumberFormat="1" applyFont="1" applyFill="1" applyBorder="1" applyAlignment="1">
      <alignment horizontal="right"/>
    </xf>
    <xf numFmtId="4" fontId="19" fillId="37" borderId="17" xfId="57" applyNumberFormat="1" applyFont="1" applyFill="1" applyBorder="1" applyAlignment="1">
      <alignment horizontal="right"/>
    </xf>
    <xf numFmtId="4" fontId="19" fillId="34" borderId="17" xfId="57" applyNumberFormat="1" applyFont="1" applyFill="1" applyBorder="1" applyAlignment="1">
      <alignment horizontal="right"/>
    </xf>
    <xf numFmtId="171" fontId="18" fillId="34" borderId="23" xfId="0" applyNumberFormat="1" applyFont="1" applyFill="1" applyBorder="1" applyAlignment="1">
      <alignment horizontal="center"/>
    </xf>
    <xf numFmtId="171" fontId="18" fillId="34" borderId="22" xfId="0" applyNumberFormat="1" applyFont="1" applyFill="1" applyBorder="1" applyAlignment="1">
      <alignment horizontal="center"/>
    </xf>
    <xf numFmtId="171" fontId="18" fillId="34" borderId="24" xfId="0" applyNumberFormat="1" applyFont="1" applyFill="1" applyBorder="1" applyAlignment="1">
      <alignment horizontal="center"/>
    </xf>
    <xf numFmtId="171" fontId="19" fillId="34" borderId="17" xfId="0" applyNumberFormat="1" applyFont="1" applyFill="1" applyBorder="1" applyAlignment="1">
      <alignment horizontal="center"/>
    </xf>
    <xf numFmtId="37" fontId="19" fillId="33" borderId="18" xfId="0" applyNumberFormat="1" applyFont="1" applyFill="1" applyBorder="1" applyAlignment="1">
      <alignment horizontal="left" indent="1"/>
    </xf>
    <xf numFmtId="37" fontId="18" fillId="33" borderId="19" xfId="0" applyNumberFormat="1" applyFont="1" applyFill="1" applyBorder="1" applyAlignment="1">
      <alignment horizontal="right"/>
    </xf>
    <xf numFmtId="37" fontId="18" fillId="0" borderId="19" xfId="0" applyNumberFormat="1" applyFont="1" applyBorder="1" applyAlignment="1">
      <alignment horizontal="center"/>
    </xf>
    <xf numFmtId="4" fontId="19" fillId="33" borderId="19" xfId="57" applyNumberFormat="1" applyFont="1" applyFill="1" applyBorder="1" applyAlignment="1">
      <alignment horizontal="right"/>
    </xf>
    <xf numFmtId="37" fontId="18" fillId="0" borderId="20" xfId="0" applyNumberFormat="1" applyFont="1" applyBorder="1" applyAlignment="1">
      <alignment/>
    </xf>
    <xf numFmtId="37" fontId="18" fillId="33" borderId="0" xfId="0" applyNumberFormat="1" applyFont="1" applyFill="1" applyAlignment="1">
      <alignment horizontal="left"/>
    </xf>
    <xf numFmtId="37" fontId="18" fillId="33" borderId="0" xfId="0" applyNumberFormat="1" applyFont="1" applyFill="1" applyAlignment="1">
      <alignment horizontal="right"/>
    </xf>
    <xf numFmtId="37" fontId="18" fillId="0" borderId="0" xfId="0" applyNumberFormat="1" applyFont="1" applyAlignment="1">
      <alignment horizontal="center"/>
    </xf>
    <xf numFmtId="9" fontId="19" fillId="33" borderId="0" xfId="57" applyFont="1" applyFill="1" applyBorder="1" applyAlignment="1">
      <alignment horizontal="right"/>
    </xf>
    <xf numFmtId="37" fontId="20" fillId="33" borderId="15" xfId="0" applyNumberFormat="1" applyFont="1" applyFill="1" applyBorder="1" applyAlignment="1">
      <alignment horizontal="left"/>
    </xf>
    <xf numFmtId="1" fontId="19" fillId="33" borderId="22" xfId="57" applyNumberFormat="1" applyFont="1" applyFill="1" applyBorder="1" applyAlignment="1">
      <alignment horizontal="right"/>
    </xf>
    <xf numFmtId="9" fontId="19" fillId="33" borderId="22" xfId="57" applyFont="1" applyFill="1" applyBorder="1" applyAlignment="1">
      <alignment horizontal="right"/>
    </xf>
    <xf numFmtId="9" fontId="18" fillId="34" borderId="21" xfId="57" applyFont="1" applyFill="1" applyBorder="1" applyAlignment="1">
      <alignment horizontal="center"/>
    </xf>
    <xf numFmtId="166" fontId="19" fillId="33" borderId="22" xfId="57" applyNumberFormat="1" applyFont="1" applyFill="1" applyBorder="1" applyAlignment="1">
      <alignment horizontal="right"/>
    </xf>
    <xf numFmtId="166" fontId="19" fillId="37" borderId="21" xfId="57" applyNumberFormat="1" applyFont="1" applyFill="1" applyBorder="1" applyAlignment="1">
      <alignment horizontal="right"/>
    </xf>
    <xf numFmtId="169" fontId="18" fillId="0" borderId="0" xfId="57" applyNumberFormat="1" applyFont="1" applyAlignment="1">
      <alignment/>
    </xf>
    <xf numFmtId="37" fontId="19" fillId="33" borderId="0" xfId="0" applyNumberFormat="1" applyFont="1" applyFill="1" applyBorder="1" applyAlignment="1">
      <alignment/>
    </xf>
    <xf numFmtId="9" fontId="19" fillId="33" borderId="0" xfId="57" applyFont="1" applyFill="1" applyBorder="1" applyAlignment="1">
      <alignment horizontal="center"/>
    </xf>
    <xf numFmtId="1" fontId="19" fillId="37" borderId="21" xfId="57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9" fontId="18" fillId="33" borderId="0" xfId="57" applyFont="1" applyFill="1" applyBorder="1" applyAlignment="1">
      <alignment horizontal="center"/>
    </xf>
    <xf numFmtId="9" fontId="18" fillId="0" borderId="0" xfId="57" applyFont="1" applyAlignment="1">
      <alignment/>
    </xf>
    <xf numFmtId="37" fontId="18" fillId="33" borderId="0" xfId="0" applyNumberFormat="1" applyFont="1" applyFill="1" applyBorder="1" applyAlignment="1">
      <alignment/>
    </xf>
    <xf numFmtId="166" fontId="19" fillId="34" borderId="21" xfId="57" applyNumberFormat="1" applyFont="1" applyFill="1" applyBorder="1" applyAlignment="1">
      <alignment horizontal="right"/>
    </xf>
    <xf numFmtId="166" fontId="19" fillId="34" borderId="23" xfId="57" applyNumberFormat="1" applyFont="1" applyFill="1" applyBorder="1" applyAlignment="1">
      <alignment horizontal="center"/>
    </xf>
    <xf numFmtId="175" fontId="19" fillId="0" borderId="0" xfId="0" applyNumberFormat="1" applyFont="1" applyAlignment="1">
      <alignment/>
    </xf>
    <xf numFmtId="176" fontId="19" fillId="0" borderId="0" xfId="0" applyNumberFormat="1" applyFont="1" applyAlignment="1">
      <alignment/>
    </xf>
    <xf numFmtId="37" fontId="19" fillId="0" borderId="14" xfId="0" applyNumberFormat="1" applyFont="1" applyBorder="1" applyAlignment="1">
      <alignment horizontal="center"/>
    </xf>
    <xf numFmtId="37" fontId="19" fillId="0" borderId="16" xfId="0" applyNumberFormat="1" applyFont="1" applyBorder="1" applyAlignment="1">
      <alignment horizontal="center"/>
    </xf>
    <xf numFmtId="175" fontId="19" fillId="0" borderId="0" xfId="0" applyNumberFormat="1" applyFont="1" applyBorder="1" applyAlignment="1">
      <alignment horizontal="center"/>
    </xf>
    <xf numFmtId="37" fontId="18" fillId="0" borderId="19" xfId="0" applyNumberFormat="1" applyFont="1" applyFill="1" applyBorder="1" applyAlignment="1">
      <alignment/>
    </xf>
    <xf numFmtId="37" fontId="19" fillId="0" borderId="14" xfId="0" applyNumberFormat="1" applyFont="1" applyBorder="1" applyAlignment="1">
      <alignment/>
    </xf>
    <xf numFmtId="9" fontId="19" fillId="34" borderId="21" xfId="57" applyNumberFormat="1" applyFont="1" applyFill="1" applyBorder="1" applyAlignment="1">
      <alignment horizontal="right"/>
    </xf>
    <xf numFmtId="37" fontId="19" fillId="0" borderId="14" xfId="0" applyNumberFormat="1" applyFont="1" applyBorder="1" applyAlignment="1">
      <alignment horizontal="left" indent="1"/>
    </xf>
    <xf numFmtId="37" fontId="19" fillId="0" borderId="14" xfId="0" applyNumberFormat="1" applyFont="1" applyBorder="1" applyAlignment="1">
      <alignment horizontal="right"/>
    </xf>
    <xf numFmtId="37" fontId="19" fillId="0" borderId="14" xfId="0" applyNumberFormat="1" applyFont="1" applyBorder="1" applyAlignment="1">
      <alignment horizontal="left" indent="2"/>
    </xf>
    <xf numFmtId="171" fontId="19" fillId="34" borderId="21" xfId="0" applyNumberFormat="1" applyFont="1" applyFill="1" applyBorder="1" applyAlignment="1">
      <alignment horizontal="right"/>
    </xf>
    <xf numFmtId="171" fontId="19" fillId="33" borderId="16" xfId="0" applyNumberFormat="1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171" fontId="19" fillId="34" borderId="21" xfId="0" applyNumberFormat="1" applyFont="1" applyFill="1" applyBorder="1" applyAlignment="1">
      <alignment horizontal="center"/>
    </xf>
    <xf numFmtId="170" fontId="19" fillId="34" borderId="23" xfId="0" applyNumberFormat="1" applyFont="1" applyFill="1" applyBorder="1" applyAlignment="1">
      <alignment horizontal="center"/>
    </xf>
    <xf numFmtId="170" fontId="19" fillId="34" borderId="22" xfId="0" applyNumberFormat="1" applyFont="1" applyFill="1" applyBorder="1" applyAlignment="1">
      <alignment horizontal="center"/>
    </xf>
    <xf numFmtId="170" fontId="19" fillId="34" borderId="24" xfId="0" applyNumberFormat="1" applyFont="1" applyFill="1" applyBorder="1" applyAlignment="1">
      <alignment horizontal="center"/>
    </xf>
    <xf numFmtId="37" fontId="19" fillId="0" borderId="15" xfId="0" applyNumberFormat="1" applyFont="1" applyBorder="1" applyAlignment="1">
      <alignment horizontal="left" indent="1"/>
    </xf>
    <xf numFmtId="37" fontId="19" fillId="0" borderId="0" xfId="0" applyNumberFormat="1" applyFont="1" applyBorder="1" applyAlignment="1">
      <alignment horizontal="left" indent="2"/>
    </xf>
    <xf numFmtId="171" fontId="19" fillId="33" borderId="22" xfId="0" applyNumberFormat="1" applyFont="1" applyFill="1" applyBorder="1" applyAlignment="1">
      <alignment horizontal="right"/>
    </xf>
    <xf numFmtId="171" fontId="19" fillId="33" borderId="0" xfId="0" applyNumberFormat="1" applyFont="1" applyFill="1" applyBorder="1" applyAlignment="1">
      <alignment horizontal="right"/>
    </xf>
    <xf numFmtId="171" fontId="19" fillId="33" borderId="0" xfId="0" applyNumberFormat="1" applyFont="1" applyFill="1" applyBorder="1" applyAlignment="1">
      <alignment horizontal="center"/>
    </xf>
    <xf numFmtId="170" fontId="19" fillId="33" borderId="0" xfId="0" applyNumberFormat="1" applyFont="1" applyFill="1" applyBorder="1" applyAlignment="1">
      <alignment horizontal="center"/>
    </xf>
    <xf numFmtId="3" fontId="19" fillId="34" borderId="21" xfId="57" applyNumberFormat="1" applyFont="1" applyFill="1" applyBorder="1" applyAlignment="1">
      <alignment horizontal="right"/>
    </xf>
    <xf numFmtId="37" fontId="18" fillId="33" borderId="18" xfId="0" applyNumberFormat="1" applyFont="1" applyFill="1" applyBorder="1" applyAlignment="1">
      <alignment horizontal="left"/>
    </xf>
    <xf numFmtId="37" fontId="18" fillId="33" borderId="20" xfId="0" applyNumberFormat="1" applyFont="1" applyFill="1" applyBorder="1" applyAlignment="1">
      <alignment/>
    </xf>
    <xf numFmtId="37" fontId="18" fillId="33" borderId="0" xfId="0" applyNumberFormat="1" applyFont="1" applyFill="1" applyBorder="1" applyAlignment="1">
      <alignment horizontal="left"/>
    </xf>
    <xf numFmtId="37" fontId="18" fillId="33" borderId="13" xfId="0" applyNumberFormat="1" applyFont="1" applyFill="1" applyBorder="1" applyAlignment="1">
      <alignment/>
    </xf>
    <xf numFmtId="37" fontId="18" fillId="33" borderId="16" xfId="0" applyNumberFormat="1" applyFont="1" applyFill="1" applyBorder="1" applyAlignment="1">
      <alignment/>
    </xf>
    <xf numFmtId="4" fontId="19" fillId="34" borderId="21" xfId="57" applyNumberFormat="1" applyFont="1" applyFill="1" applyBorder="1" applyAlignment="1">
      <alignment horizontal="right"/>
    </xf>
    <xf numFmtId="9" fontId="19" fillId="34" borderId="17" xfId="57" applyFont="1" applyFill="1" applyBorder="1" applyAlignment="1">
      <alignment horizontal="right"/>
    </xf>
    <xf numFmtId="40" fontId="19" fillId="34" borderId="21" xfId="57" applyNumberFormat="1" applyFont="1" applyFill="1" applyBorder="1" applyAlignment="1">
      <alignment horizontal="right"/>
    </xf>
    <xf numFmtId="40" fontId="19" fillId="33" borderId="22" xfId="57" applyNumberFormat="1" applyFont="1" applyFill="1" applyBorder="1" applyAlignment="1">
      <alignment horizontal="right"/>
    </xf>
    <xf numFmtId="165" fontId="19" fillId="34" borderId="21" xfId="57" applyNumberFormat="1" applyFont="1" applyFill="1" applyBorder="1" applyAlignment="1">
      <alignment horizontal="right"/>
    </xf>
    <xf numFmtId="165" fontId="19" fillId="33" borderId="16" xfId="57" applyNumberFormat="1" applyFont="1" applyFill="1" applyBorder="1" applyAlignment="1">
      <alignment horizontal="left"/>
    </xf>
    <xf numFmtId="37" fontId="19" fillId="33" borderId="16" xfId="0" applyNumberFormat="1" applyFont="1" applyFill="1" applyBorder="1" applyAlignment="1">
      <alignment/>
    </xf>
    <xf numFmtId="3" fontId="19" fillId="33" borderId="22" xfId="57" applyNumberFormat="1" applyFont="1" applyFill="1" applyBorder="1" applyAlignment="1">
      <alignment horizontal="right"/>
    </xf>
    <xf numFmtId="38" fontId="19" fillId="34" borderId="21" xfId="57" applyNumberFormat="1" applyFont="1" applyFill="1" applyBorder="1" applyAlignment="1">
      <alignment horizontal="right"/>
    </xf>
    <xf numFmtId="37" fontId="18" fillId="33" borderId="15" xfId="0" applyNumberFormat="1" applyFont="1" applyFill="1" applyBorder="1" applyAlignment="1">
      <alignment horizontal="left" indent="3"/>
    </xf>
    <xf numFmtId="38" fontId="18" fillId="34" borderId="21" xfId="57" applyNumberFormat="1" applyFont="1" applyFill="1" applyBorder="1" applyAlignment="1">
      <alignment horizontal="right"/>
    </xf>
    <xf numFmtId="37" fontId="18" fillId="0" borderId="0" xfId="0" applyNumberFormat="1" applyFont="1" applyBorder="1" applyAlignment="1">
      <alignment horizontal="left"/>
    </xf>
    <xf numFmtId="37" fontId="18" fillId="0" borderId="0" xfId="0" applyNumberFormat="1" applyFont="1" applyAlignment="1">
      <alignment horizontal="left"/>
    </xf>
    <xf numFmtId="165" fontId="19" fillId="33" borderId="12" xfId="57" applyNumberFormat="1" applyFont="1" applyFill="1" applyBorder="1" applyAlignment="1">
      <alignment horizontal="right"/>
    </xf>
    <xf numFmtId="165" fontId="19" fillId="33" borderId="19" xfId="57" applyNumberFormat="1" applyFont="1" applyFill="1" applyBorder="1" applyAlignment="1">
      <alignment horizontal="right"/>
    </xf>
    <xf numFmtId="37" fontId="18" fillId="33" borderId="0" xfId="0" applyNumberFormat="1" applyFont="1" applyFill="1" applyBorder="1" applyAlignment="1">
      <alignment horizontal="left" indent="2"/>
    </xf>
    <xf numFmtId="39" fontId="19" fillId="0" borderId="0" xfId="0" applyNumberFormat="1" applyFont="1" applyBorder="1" applyAlignment="1">
      <alignment/>
    </xf>
    <xf numFmtId="171" fontId="19" fillId="0" borderId="0" xfId="0" applyNumberFormat="1" applyFont="1" applyBorder="1" applyAlignment="1">
      <alignment/>
    </xf>
    <xf numFmtId="167" fontId="19" fillId="33" borderId="0" xfId="57" applyNumberFormat="1" applyFont="1" applyFill="1" applyBorder="1" applyAlignment="1">
      <alignment horizontal="right"/>
    </xf>
    <xf numFmtId="165" fontId="19" fillId="33" borderId="22" xfId="57" applyNumberFormat="1" applyFont="1" applyFill="1" applyBorder="1" applyAlignment="1">
      <alignment horizontal="right"/>
    </xf>
    <xf numFmtId="173" fontId="19" fillId="0" borderId="0" xfId="0" applyNumberFormat="1" applyFont="1" applyBorder="1" applyAlignment="1">
      <alignment/>
    </xf>
    <xf numFmtId="172" fontId="19" fillId="34" borderId="21" xfId="57" applyNumberFormat="1" applyFont="1" applyFill="1" applyBorder="1" applyAlignment="1">
      <alignment horizontal="right"/>
    </xf>
    <xf numFmtId="10" fontId="18" fillId="0" borderId="0" xfId="57" applyNumberFormat="1" applyFont="1" applyAlignment="1">
      <alignment/>
    </xf>
    <xf numFmtId="37" fontId="18" fillId="33" borderId="18" xfId="0" applyNumberFormat="1" applyFont="1" applyFill="1" applyBorder="1" applyAlignment="1">
      <alignment horizontal="left" indent="5"/>
    </xf>
    <xf numFmtId="172" fontId="19" fillId="33" borderId="19" xfId="57" applyNumberFormat="1" applyFont="1" applyFill="1" applyBorder="1" applyAlignment="1">
      <alignment horizontal="right"/>
    </xf>
    <xf numFmtId="37" fontId="19" fillId="33" borderId="0" xfId="0" applyNumberFormat="1" applyFont="1" applyFill="1" applyAlignment="1">
      <alignment horizontal="left"/>
    </xf>
    <xf numFmtId="37" fontId="19" fillId="33" borderId="0" xfId="0" applyNumberFormat="1" applyFont="1" applyFill="1" applyAlignment="1">
      <alignment horizontal="right"/>
    </xf>
    <xf numFmtId="37" fontId="18" fillId="33" borderId="10" xfId="0" applyNumberFormat="1" applyFont="1" applyFill="1" applyBorder="1" applyAlignment="1">
      <alignment horizontal="right"/>
    </xf>
    <xf numFmtId="37" fontId="19" fillId="0" borderId="10" xfId="0" applyNumberFormat="1" applyFont="1" applyBorder="1" applyAlignment="1">
      <alignment/>
    </xf>
    <xf numFmtId="37" fontId="19" fillId="0" borderId="11" xfId="0" applyNumberFormat="1" applyFont="1" applyBorder="1" applyAlignment="1">
      <alignment horizontal="center"/>
    </xf>
    <xf numFmtId="37" fontId="19" fillId="0" borderId="12" xfId="0" applyNumberFormat="1" applyFont="1" applyBorder="1" applyAlignment="1">
      <alignment horizontal="center"/>
    </xf>
    <xf numFmtId="37" fontId="19" fillId="0" borderId="13" xfId="0" applyNumberFormat="1" applyFont="1" applyBorder="1" applyAlignment="1">
      <alignment horizontal="center"/>
    </xf>
    <xf numFmtId="168" fontId="19" fillId="33" borderId="11" xfId="0" applyNumberFormat="1" applyFont="1" applyFill="1" applyBorder="1" applyAlignment="1">
      <alignment/>
    </xf>
    <xf numFmtId="168" fontId="19" fillId="33" borderId="12" xfId="0" applyNumberFormat="1" applyFont="1" applyFill="1" applyBorder="1" applyAlignment="1">
      <alignment/>
    </xf>
    <xf numFmtId="168" fontId="19" fillId="33" borderId="13" xfId="0" applyNumberFormat="1" applyFont="1" applyFill="1" applyBorder="1" applyAlignment="1">
      <alignment/>
    </xf>
    <xf numFmtId="168" fontId="19" fillId="0" borderId="11" xfId="0" applyNumberFormat="1" applyFont="1" applyFill="1" applyBorder="1" applyAlignment="1">
      <alignment/>
    </xf>
    <xf numFmtId="168" fontId="19" fillId="0" borderId="12" xfId="0" applyNumberFormat="1" applyFont="1" applyFill="1" applyBorder="1" applyAlignment="1">
      <alignment/>
    </xf>
    <xf numFmtId="168" fontId="19" fillId="0" borderId="13" xfId="0" applyNumberFormat="1" applyFont="1" applyFill="1" applyBorder="1" applyAlignment="1">
      <alignment/>
    </xf>
    <xf numFmtId="37" fontId="19" fillId="33" borderId="14" xfId="0" applyNumberFormat="1" applyFont="1" applyFill="1" applyBorder="1" applyAlignment="1">
      <alignment horizontal="right"/>
    </xf>
    <xf numFmtId="37" fontId="19" fillId="0" borderId="15" xfId="0" applyNumberFormat="1" applyFont="1" applyBorder="1" applyAlignment="1">
      <alignment horizontal="center"/>
    </xf>
    <xf numFmtId="37" fontId="18" fillId="33" borderId="15" xfId="0" applyNumberFormat="1" applyFont="1" applyFill="1" applyBorder="1" applyAlignment="1">
      <alignment/>
    </xf>
    <xf numFmtId="37" fontId="18" fillId="0" borderId="15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/>
    </xf>
    <xf numFmtId="37" fontId="18" fillId="0" borderId="16" xfId="0" applyNumberFormat="1" applyFont="1" applyFill="1" applyBorder="1" applyAlignment="1">
      <alignment/>
    </xf>
    <xf numFmtId="37" fontId="19" fillId="0" borderId="17" xfId="0" applyNumberFormat="1" applyFont="1" applyBorder="1" applyAlignment="1">
      <alignment/>
    </xf>
    <xf numFmtId="37" fontId="19" fillId="0" borderId="18" xfId="0" applyNumberFormat="1" applyFont="1" applyBorder="1" applyAlignment="1">
      <alignment horizontal="center"/>
    </xf>
    <xf numFmtId="37" fontId="19" fillId="0" borderId="19" xfId="0" applyNumberFormat="1" applyFont="1" applyBorder="1" applyAlignment="1">
      <alignment horizontal="center"/>
    </xf>
    <xf numFmtId="37" fontId="19" fillId="0" borderId="20" xfId="0" applyNumberFormat="1" applyFont="1" applyBorder="1" applyAlignment="1">
      <alignment horizontal="center"/>
    </xf>
    <xf numFmtId="37" fontId="18" fillId="33" borderId="18" xfId="0" applyNumberFormat="1" applyFont="1" applyFill="1" applyBorder="1" applyAlignment="1">
      <alignment/>
    </xf>
    <xf numFmtId="37" fontId="18" fillId="33" borderId="19" xfId="0" applyNumberFormat="1" applyFont="1" applyFill="1" applyBorder="1" applyAlignment="1">
      <alignment/>
    </xf>
    <xf numFmtId="37" fontId="18" fillId="0" borderId="18" xfId="0" applyNumberFormat="1" applyFont="1" applyFill="1" applyBorder="1" applyAlignment="1">
      <alignment/>
    </xf>
    <xf numFmtId="37" fontId="18" fillId="0" borderId="20" xfId="0" applyNumberFormat="1" applyFont="1" applyFill="1" applyBorder="1" applyAlignment="1">
      <alignment/>
    </xf>
    <xf numFmtId="37" fontId="19" fillId="33" borderId="11" xfId="0" applyNumberFormat="1" applyFont="1" applyFill="1" applyBorder="1" applyAlignment="1">
      <alignment horizontal="right"/>
    </xf>
    <xf numFmtId="37" fontId="19" fillId="33" borderId="10" xfId="0" applyNumberFormat="1" applyFont="1" applyFill="1" applyBorder="1" applyAlignment="1">
      <alignment horizontal="right"/>
    </xf>
    <xf numFmtId="37" fontId="19" fillId="36" borderId="12" xfId="0" applyNumberFormat="1" applyFont="1" applyFill="1" applyBorder="1" applyAlignment="1">
      <alignment horizontal="center"/>
    </xf>
    <xf numFmtId="37" fontId="19" fillId="36" borderId="13" xfId="0" applyNumberFormat="1" applyFont="1" applyFill="1" applyBorder="1" applyAlignment="1">
      <alignment horizontal="center"/>
    </xf>
    <xf numFmtId="37" fontId="18" fillId="33" borderId="11" xfId="0" applyNumberFormat="1" applyFont="1" applyFill="1" applyBorder="1" applyAlignment="1">
      <alignment/>
    </xf>
    <xf numFmtId="37" fontId="18" fillId="33" borderId="12" xfId="0" applyNumberFormat="1" applyFont="1" applyFill="1" applyBorder="1" applyAlignment="1">
      <alignment/>
    </xf>
    <xf numFmtId="37" fontId="19" fillId="33" borderId="15" xfId="0" applyNumberFormat="1" applyFont="1" applyFill="1" applyBorder="1" applyAlignment="1">
      <alignment horizontal="center"/>
    </xf>
    <xf numFmtId="37" fontId="19" fillId="33" borderId="14" xfId="0" applyNumberFormat="1" applyFont="1" applyFill="1" applyBorder="1" applyAlignment="1">
      <alignment horizontal="center"/>
    </xf>
    <xf numFmtId="37" fontId="19" fillId="36" borderId="0" xfId="0" applyNumberFormat="1" applyFont="1" applyFill="1" applyBorder="1" applyAlignment="1">
      <alignment horizontal="center"/>
    </xf>
    <xf numFmtId="171" fontId="19" fillId="36" borderId="0" xfId="0" applyNumberFormat="1" applyFont="1" applyFill="1" applyBorder="1" applyAlignment="1">
      <alignment horizontal="center"/>
    </xf>
    <xf numFmtId="171" fontId="19" fillId="36" borderId="16" xfId="0" applyNumberFormat="1" applyFont="1" applyFill="1" applyBorder="1" applyAlignment="1">
      <alignment horizontal="center"/>
    </xf>
    <xf numFmtId="171" fontId="19" fillId="34" borderId="23" xfId="0" applyNumberFormat="1" applyFont="1" applyFill="1" applyBorder="1" applyAlignment="1">
      <alignment horizontal="center"/>
    </xf>
    <xf numFmtId="171" fontId="19" fillId="34" borderId="22" xfId="0" applyNumberFormat="1" applyFont="1" applyFill="1" applyBorder="1" applyAlignment="1">
      <alignment horizontal="center"/>
    </xf>
    <xf numFmtId="171" fontId="19" fillId="34" borderId="24" xfId="0" applyNumberFormat="1" applyFont="1" applyFill="1" applyBorder="1" applyAlignment="1">
      <alignment horizontal="center"/>
    </xf>
    <xf numFmtId="37" fontId="19" fillId="33" borderId="15" xfId="0" applyNumberFormat="1" applyFont="1" applyFill="1" applyBorder="1" applyAlignment="1">
      <alignment horizontal="right"/>
    </xf>
    <xf numFmtId="37" fontId="19" fillId="33" borderId="17" xfId="0" applyNumberFormat="1" applyFont="1" applyFill="1" applyBorder="1" applyAlignment="1">
      <alignment horizontal="right"/>
    </xf>
    <xf numFmtId="171" fontId="18" fillId="33" borderId="15" xfId="0" applyNumberFormat="1" applyFont="1" applyFill="1" applyBorder="1" applyAlignment="1">
      <alignment/>
    </xf>
    <xf numFmtId="171" fontId="18" fillId="33" borderId="0" xfId="0" applyNumberFormat="1" applyFont="1" applyFill="1" applyBorder="1" applyAlignment="1">
      <alignment/>
    </xf>
    <xf numFmtId="171" fontId="18" fillId="33" borderId="16" xfId="0" applyNumberFormat="1" applyFont="1" applyFill="1" applyBorder="1" applyAlignment="1">
      <alignment/>
    </xf>
    <xf numFmtId="171" fontId="18" fillId="0" borderId="23" xfId="0" applyNumberFormat="1" applyFont="1" applyFill="1" applyBorder="1" applyAlignment="1">
      <alignment/>
    </xf>
    <xf numFmtId="171" fontId="18" fillId="0" borderId="22" xfId="0" applyNumberFormat="1" applyFont="1" applyFill="1" applyBorder="1" applyAlignment="1">
      <alignment/>
    </xf>
    <xf numFmtId="171" fontId="18" fillId="0" borderId="24" xfId="0" applyNumberFormat="1" applyFont="1" applyFill="1" applyBorder="1" applyAlignment="1">
      <alignment/>
    </xf>
    <xf numFmtId="37" fontId="20" fillId="0" borderId="10" xfId="0" applyNumberFormat="1" applyFont="1" applyBorder="1" applyAlignment="1">
      <alignment/>
    </xf>
    <xf numFmtId="171" fontId="19" fillId="33" borderId="11" xfId="0" applyNumberFormat="1" applyFont="1" applyFill="1" applyBorder="1" applyAlignment="1">
      <alignment horizontal="center"/>
    </xf>
    <xf numFmtId="171" fontId="19" fillId="33" borderId="12" xfId="0" applyNumberFormat="1" applyFont="1" applyFill="1" applyBorder="1" applyAlignment="1">
      <alignment horizontal="center"/>
    </xf>
    <xf numFmtId="171" fontId="19" fillId="33" borderId="13" xfId="0" applyNumberFormat="1" applyFont="1" applyFill="1" applyBorder="1" applyAlignment="1">
      <alignment horizontal="center"/>
    </xf>
    <xf numFmtId="171" fontId="18" fillId="33" borderId="11" xfId="0" applyNumberFormat="1" applyFont="1" applyFill="1" applyBorder="1" applyAlignment="1">
      <alignment/>
    </xf>
    <xf numFmtId="171" fontId="18" fillId="33" borderId="12" xfId="0" applyNumberFormat="1" applyFont="1" applyFill="1" applyBorder="1" applyAlignment="1">
      <alignment/>
    </xf>
    <xf numFmtId="171" fontId="18" fillId="33" borderId="13" xfId="0" applyNumberFormat="1" applyFont="1" applyFill="1" applyBorder="1" applyAlignment="1">
      <alignment/>
    </xf>
    <xf numFmtId="171" fontId="18" fillId="0" borderId="15" xfId="0" applyNumberFormat="1" applyFont="1" applyFill="1" applyBorder="1" applyAlignment="1">
      <alignment/>
    </xf>
    <xf numFmtId="171" fontId="18" fillId="0" borderId="0" xfId="0" applyNumberFormat="1" applyFont="1" applyFill="1" applyBorder="1" applyAlignment="1">
      <alignment/>
    </xf>
    <xf numFmtId="171" fontId="18" fillId="0" borderId="16" xfId="0" applyNumberFormat="1" applyFont="1" applyFill="1" applyBorder="1" applyAlignment="1">
      <alignment/>
    </xf>
    <xf numFmtId="37" fontId="18" fillId="0" borderId="14" xfId="0" applyNumberFormat="1" applyFont="1" applyBorder="1" applyAlignment="1">
      <alignment horizontal="left" indent="2"/>
    </xf>
    <xf numFmtId="171" fontId="18" fillId="0" borderId="15" xfId="0" applyNumberFormat="1" applyFont="1" applyBorder="1" applyAlignment="1">
      <alignment/>
    </xf>
    <xf numFmtId="171" fontId="18" fillId="0" borderId="0" xfId="0" applyNumberFormat="1" applyFont="1" applyBorder="1" applyAlignment="1">
      <alignment/>
    </xf>
    <xf numFmtId="171" fontId="18" fillId="0" borderId="16" xfId="0" applyNumberFormat="1" applyFont="1" applyBorder="1" applyAlignment="1">
      <alignment/>
    </xf>
    <xf numFmtId="171" fontId="19" fillId="35" borderId="15" xfId="0" applyNumberFormat="1" applyFont="1" applyFill="1" applyBorder="1" applyAlignment="1">
      <alignment/>
    </xf>
    <xf numFmtId="171" fontId="19" fillId="35" borderId="0" xfId="0" applyNumberFormat="1" applyFont="1" applyFill="1" applyBorder="1" applyAlignment="1">
      <alignment/>
    </xf>
    <xf numFmtId="171" fontId="19" fillId="35" borderId="16" xfId="0" applyNumberFormat="1" applyFont="1" applyFill="1" applyBorder="1" applyAlignment="1">
      <alignment/>
    </xf>
    <xf numFmtId="171" fontId="19" fillId="34" borderId="15" xfId="0" applyNumberFormat="1" applyFont="1" applyFill="1" applyBorder="1" applyAlignment="1">
      <alignment horizontal="right"/>
    </xf>
    <xf numFmtId="171" fontId="19" fillId="34" borderId="0" xfId="0" applyNumberFormat="1" applyFont="1" applyFill="1" applyBorder="1" applyAlignment="1">
      <alignment horizontal="right"/>
    </xf>
    <xf numFmtId="171" fontId="19" fillId="34" borderId="16" xfId="0" applyNumberFormat="1" applyFont="1" applyFill="1" applyBorder="1" applyAlignment="1">
      <alignment horizontal="right"/>
    </xf>
    <xf numFmtId="171" fontId="19" fillId="0" borderId="15" xfId="0" applyNumberFormat="1" applyFont="1" applyBorder="1" applyAlignment="1">
      <alignment horizontal="right"/>
    </xf>
    <xf numFmtId="171" fontId="19" fillId="0" borderId="0" xfId="0" applyNumberFormat="1" applyFont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37" fontId="18" fillId="33" borderId="14" xfId="0" applyNumberFormat="1" applyFont="1" applyFill="1" applyBorder="1" applyAlignment="1">
      <alignment horizontal="right"/>
    </xf>
    <xf numFmtId="37" fontId="18" fillId="0" borderId="14" xfId="0" applyNumberFormat="1" applyFont="1" applyFill="1" applyBorder="1" applyAlignment="1">
      <alignment horizontal="left" indent="2"/>
    </xf>
    <xf numFmtId="171" fontId="18" fillId="35" borderId="15" xfId="0" applyNumberFormat="1" applyFont="1" applyFill="1" applyBorder="1" applyAlignment="1">
      <alignment/>
    </xf>
    <xf numFmtId="171" fontId="18" fillId="35" borderId="0" xfId="0" applyNumberFormat="1" applyFont="1" applyFill="1" applyBorder="1" applyAlignment="1">
      <alignment/>
    </xf>
    <xf numFmtId="171" fontId="18" fillId="35" borderId="16" xfId="0" applyNumberFormat="1" applyFont="1" applyFill="1" applyBorder="1" applyAlignment="1">
      <alignment/>
    </xf>
    <xf numFmtId="171" fontId="18" fillId="34" borderId="15" xfId="0" applyNumberFormat="1" applyFont="1" applyFill="1" applyBorder="1" applyAlignment="1">
      <alignment/>
    </xf>
    <xf numFmtId="171" fontId="18" fillId="34" borderId="0" xfId="0" applyNumberFormat="1" applyFont="1" applyFill="1" applyBorder="1" applyAlignment="1">
      <alignment/>
    </xf>
    <xf numFmtId="171" fontId="18" fillId="34" borderId="16" xfId="0" applyNumberFormat="1" applyFont="1" applyFill="1" applyBorder="1" applyAlignment="1">
      <alignment/>
    </xf>
    <xf numFmtId="171" fontId="18" fillId="0" borderId="15" xfId="0" applyNumberFormat="1" applyFont="1" applyBorder="1" applyAlignment="1">
      <alignment horizontal="right"/>
    </xf>
    <xf numFmtId="171" fontId="18" fillId="0" borderId="0" xfId="0" applyNumberFormat="1" applyFont="1" applyBorder="1" applyAlignment="1">
      <alignment horizontal="right"/>
    </xf>
    <xf numFmtId="171" fontId="18" fillId="0" borderId="16" xfId="0" applyNumberFormat="1" applyFont="1" applyBorder="1" applyAlignment="1">
      <alignment horizontal="right"/>
    </xf>
    <xf numFmtId="9" fontId="18" fillId="33" borderId="14" xfId="57" applyFont="1" applyFill="1" applyBorder="1" applyAlignment="1">
      <alignment horizontal="right"/>
    </xf>
    <xf numFmtId="171" fontId="19" fillId="33" borderId="15" xfId="0" applyNumberFormat="1" applyFont="1" applyFill="1" applyBorder="1" applyAlignment="1">
      <alignment horizontal="center"/>
    </xf>
    <xf numFmtId="171" fontId="19" fillId="33" borderId="16" xfId="0" applyNumberFormat="1" applyFont="1" applyFill="1" applyBorder="1" applyAlignment="1">
      <alignment horizontal="center"/>
    </xf>
    <xf numFmtId="171" fontId="19" fillId="35" borderId="15" xfId="0" applyNumberFormat="1" applyFont="1" applyFill="1" applyBorder="1" applyAlignment="1">
      <alignment/>
    </xf>
    <xf numFmtId="171" fontId="19" fillId="35" borderId="0" xfId="0" applyNumberFormat="1" applyFont="1" applyFill="1" applyBorder="1" applyAlignment="1">
      <alignment/>
    </xf>
    <xf numFmtId="171" fontId="19" fillId="35" borderId="16" xfId="0" applyNumberFormat="1" applyFont="1" applyFill="1" applyBorder="1" applyAlignment="1">
      <alignment/>
    </xf>
    <xf numFmtId="171" fontId="19" fillId="34" borderId="15" xfId="0" applyNumberFormat="1" applyFont="1" applyFill="1" applyBorder="1" applyAlignment="1">
      <alignment/>
    </xf>
    <xf numFmtId="171" fontId="19" fillId="34" borderId="0" xfId="0" applyNumberFormat="1" applyFont="1" applyFill="1" applyBorder="1" applyAlignment="1">
      <alignment/>
    </xf>
    <xf numFmtId="171" fontId="19" fillId="34" borderId="16" xfId="0" applyNumberFormat="1" applyFont="1" applyFill="1" applyBorder="1" applyAlignment="1">
      <alignment/>
    </xf>
    <xf numFmtId="171" fontId="19" fillId="0" borderId="15" xfId="0" applyNumberFormat="1" applyFont="1" applyFill="1" applyBorder="1" applyAlignment="1">
      <alignment/>
    </xf>
    <xf numFmtId="171" fontId="19" fillId="0" borderId="0" xfId="0" applyNumberFormat="1" applyFont="1" applyFill="1" applyBorder="1" applyAlignment="1">
      <alignment/>
    </xf>
    <xf numFmtId="171" fontId="19" fillId="0" borderId="16" xfId="0" applyNumberFormat="1" applyFont="1" applyFill="1" applyBorder="1" applyAlignment="1">
      <alignment/>
    </xf>
    <xf numFmtId="170" fontId="18" fillId="33" borderId="14" xfId="0" applyNumberFormat="1" applyFont="1" applyFill="1" applyBorder="1" applyAlignment="1">
      <alignment horizontal="right"/>
    </xf>
    <xf numFmtId="39" fontId="18" fillId="33" borderId="14" xfId="0" applyNumberFormat="1" applyFont="1" applyFill="1" applyBorder="1" applyAlignment="1">
      <alignment horizontal="right"/>
    </xf>
    <xf numFmtId="171" fontId="18" fillId="33" borderId="18" xfId="0" applyNumberFormat="1" applyFont="1" applyFill="1" applyBorder="1" applyAlignment="1">
      <alignment/>
    </xf>
    <xf numFmtId="171" fontId="18" fillId="33" borderId="19" xfId="0" applyNumberFormat="1" applyFont="1" applyFill="1" applyBorder="1" applyAlignment="1">
      <alignment/>
    </xf>
    <xf numFmtId="171" fontId="18" fillId="33" borderId="20" xfId="0" applyNumberFormat="1" applyFont="1" applyFill="1" applyBorder="1" applyAlignment="1">
      <alignment/>
    </xf>
    <xf numFmtId="171" fontId="18" fillId="0" borderId="18" xfId="0" applyNumberFormat="1" applyFont="1" applyBorder="1" applyAlignment="1">
      <alignment horizontal="right"/>
    </xf>
    <xf numFmtId="171" fontId="18" fillId="0" borderId="19" xfId="0" applyNumberFormat="1" applyFont="1" applyBorder="1" applyAlignment="1">
      <alignment horizontal="right"/>
    </xf>
    <xf numFmtId="171" fontId="18" fillId="0" borderId="20" xfId="0" applyNumberFormat="1" applyFont="1" applyBorder="1" applyAlignment="1">
      <alignment horizontal="right"/>
    </xf>
    <xf numFmtId="37" fontId="20" fillId="0" borderId="10" xfId="0" applyNumberFormat="1" applyFont="1" applyBorder="1" applyAlignment="1">
      <alignment horizontal="left"/>
    </xf>
    <xf numFmtId="171" fontId="18" fillId="33" borderId="11" xfId="0" applyNumberFormat="1" applyFont="1" applyFill="1" applyBorder="1" applyAlignment="1">
      <alignment horizontal="right"/>
    </xf>
    <xf numFmtId="171" fontId="18" fillId="33" borderId="12" xfId="0" applyNumberFormat="1" applyFont="1" applyFill="1" applyBorder="1" applyAlignment="1">
      <alignment horizontal="right"/>
    </xf>
    <xf numFmtId="171" fontId="18" fillId="33" borderId="13" xfId="0" applyNumberFormat="1" applyFont="1" applyFill="1" applyBorder="1" applyAlignment="1">
      <alignment horizontal="right"/>
    </xf>
    <xf numFmtId="37" fontId="19" fillId="0" borderId="14" xfId="0" applyNumberFormat="1" applyFont="1" applyBorder="1" applyAlignment="1">
      <alignment horizontal="left"/>
    </xf>
    <xf numFmtId="171" fontId="18" fillId="33" borderId="15" xfId="0" applyNumberFormat="1" applyFont="1" applyFill="1" applyBorder="1" applyAlignment="1">
      <alignment horizontal="right"/>
    </xf>
    <xf numFmtId="171" fontId="18" fillId="33" borderId="0" xfId="0" applyNumberFormat="1" applyFont="1" applyFill="1" applyBorder="1" applyAlignment="1">
      <alignment horizontal="right"/>
    </xf>
    <xf numFmtId="171" fontId="18" fillId="33" borderId="16" xfId="0" applyNumberFormat="1" applyFont="1" applyFill="1" applyBorder="1" applyAlignment="1">
      <alignment horizontal="right"/>
    </xf>
    <xf numFmtId="171" fontId="19" fillId="33" borderId="15" xfId="0" applyNumberFormat="1" applyFont="1" applyFill="1" applyBorder="1" applyAlignment="1">
      <alignment/>
    </xf>
    <xf numFmtId="171" fontId="19" fillId="33" borderId="0" xfId="0" applyNumberFormat="1" applyFont="1" applyFill="1" applyBorder="1" applyAlignment="1">
      <alignment/>
    </xf>
    <xf numFmtId="171" fontId="19" fillId="33" borderId="16" xfId="0" applyNumberFormat="1" applyFont="1" applyFill="1" applyBorder="1" applyAlignment="1">
      <alignment/>
    </xf>
    <xf numFmtId="171" fontId="19" fillId="34" borderId="15" xfId="0" applyNumberFormat="1" applyFont="1" applyFill="1" applyBorder="1" applyAlignment="1">
      <alignment/>
    </xf>
    <xf numFmtId="171" fontId="19" fillId="34" borderId="0" xfId="0" applyNumberFormat="1" applyFont="1" applyFill="1" applyBorder="1" applyAlignment="1">
      <alignment/>
    </xf>
    <xf numFmtId="171" fontId="19" fillId="34" borderId="16" xfId="0" applyNumberFormat="1" applyFont="1" applyFill="1" applyBorder="1" applyAlignment="1">
      <alignment/>
    </xf>
    <xf numFmtId="37" fontId="18" fillId="33" borderId="14" xfId="57" applyNumberFormat="1" applyFont="1" applyFill="1" applyBorder="1" applyAlignment="1">
      <alignment horizontal="right"/>
    </xf>
    <xf numFmtId="171" fontId="18" fillId="34" borderId="15" xfId="0" applyNumberFormat="1" applyFont="1" applyFill="1" applyBorder="1" applyAlignment="1">
      <alignment horizontal="right"/>
    </xf>
    <xf numFmtId="171" fontId="18" fillId="34" borderId="0" xfId="0" applyNumberFormat="1" applyFont="1" applyFill="1" applyBorder="1" applyAlignment="1">
      <alignment horizontal="right"/>
    </xf>
    <xf numFmtId="171" fontId="18" fillId="34" borderId="16" xfId="0" applyNumberFormat="1" applyFont="1" applyFill="1" applyBorder="1" applyAlignment="1">
      <alignment horizontal="right"/>
    </xf>
    <xf numFmtId="171" fontId="18" fillId="36" borderId="0" xfId="0" applyNumberFormat="1" applyFont="1" applyFill="1" applyBorder="1" applyAlignment="1">
      <alignment horizontal="right"/>
    </xf>
    <xf numFmtId="171" fontId="18" fillId="36" borderId="16" xfId="0" applyNumberFormat="1" applyFont="1" applyFill="1" applyBorder="1" applyAlignment="1">
      <alignment horizontal="right"/>
    </xf>
    <xf numFmtId="37" fontId="18" fillId="0" borderId="14" xfId="0" applyNumberFormat="1" applyFont="1" applyBorder="1" applyAlignment="1">
      <alignment horizontal="left" indent="3"/>
    </xf>
    <xf numFmtId="37" fontId="18" fillId="33" borderId="17" xfId="0" applyNumberFormat="1" applyFont="1" applyFill="1" applyBorder="1" applyAlignment="1">
      <alignment horizontal="right"/>
    </xf>
    <xf numFmtId="37" fontId="19" fillId="0" borderId="17" xfId="0" applyNumberFormat="1" applyFont="1" applyBorder="1" applyAlignment="1">
      <alignment horizontal="left" indent="1"/>
    </xf>
    <xf numFmtId="171" fontId="19" fillId="33" borderId="18" xfId="0" applyNumberFormat="1" applyFont="1" applyFill="1" applyBorder="1" applyAlignment="1">
      <alignment/>
    </xf>
    <xf numFmtId="171" fontId="19" fillId="33" borderId="19" xfId="0" applyNumberFormat="1" applyFont="1" applyFill="1" applyBorder="1" applyAlignment="1">
      <alignment/>
    </xf>
    <xf numFmtId="171" fontId="19" fillId="33" borderId="20" xfId="0" applyNumberFormat="1" applyFont="1" applyFill="1" applyBorder="1" applyAlignment="1">
      <alignment/>
    </xf>
    <xf numFmtId="37" fontId="19" fillId="33" borderId="10" xfId="0" applyNumberFormat="1" applyFont="1" applyFill="1" applyBorder="1" applyAlignment="1">
      <alignment horizontal="left" indent="1"/>
    </xf>
    <xf numFmtId="171" fontId="19" fillId="35" borderId="11" xfId="0" applyNumberFormat="1" applyFont="1" applyFill="1" applyBorder="1" applyAlignment="1">
      <alignment/>
    </xf>
    <xf numFmtId="171" fontId="19" fillId="35" borderId="12" xfId="0" applyNumberFormat="1" applyFont="1" applyFill="1" applyBorder="1" applyAlignment="1">
      <alignment/>
    </xf>
    <xf numFmtId="171" fontId="19" fillId="35" borderId="13" xfId="0" applyNumberFormat="1" applyFont="1" applyFill="1" applyBorder="1" applyAlignment="1">
      <alignment/>
    </xf>
    <xf numFmtId="171" fontId="19" fillId="33" borderId="11" xfId="0" applyNumberFormat="1" applyFont="1" applyFill="1" applyBorder="1" applyAlignment="1">
      <alignment/>
    </xf>
    <xf numFmtId="171" fontId="19" fillId="33" borderId="12" xfId="0" applyNumberFormat="1" applyFont="1" applyFill="1" applyBorder="1" applyAlignment="1">
      <alignment/>
    </xf>
    <xf numFmtId="171" fontId="19" fillId="33" borderId="13" xfId="0" applyNumberFormat="1" applyFont="1" applyFill="1" applyBorder="1" applyAlignment="1">
      <alignment/>
    </xf>
    <xf numFmtId="37" fontId="18" fillId="0" borderId="14" xfId="0" applyNumberFormat="1" applyFont="1" applyBorder="1" applyAlignment="1">
      <alignment horizontal="left"/>
    </xf>
    <xf numFmtId="37" fontId="18" fillId="0" borderId="14" xfId="0" applyNumberFormat="1" applyFont="1" applyBorder="1" applyAlignment="1">
      <alignment horizontal="left" indent="1"/>
    </xf>
    <xf numFmtId="37" fontId="18" fillId="0" borderId="17" xfId="0" applyNumberFormat="1" applyFont="1" applyBorder="1" applyAlignment="1">
      <alignment horizontal="left" indent="1"/>
    </xf>
    <xf numFmtId="37" fontId="18" fillId="35" borderId="18" xfId="0" applyNumberFormat="1" applyFont="1" applyFill="1" applyBorder="1" applyAlignment="1">
      <alignment/>
    </xf>
    <xf numFmtId="37" fontId="18" fillId="35" borderId="19" xfId="0" applyNumberFormat="1" applyFont="1" applyFill="1" applyBorder="1" applyAlignment="1">
      <alignment/>
    </xf>
    <xf numFmtId="37" fontId="18" fillId="35" borderId="20" xfId="0" applyNumberFormat="1" applyFont="1" applyFill="1" applyBorder="1" applyAlignment="1">
      <alignment/>
    </xf>
    <xf numFmtId="37" fontId="19" fillId="0" borderId="11" xfId="0" applyNumberFormat="1" applyFont="1" applyBorder="1" applyAlignment="1">
      <alignment horizontal="left"/>
    </xf>
    <xf numFmtId="37" fontId="19" fillId="35" borderId="11" xfId="0" applyNumberFormat="1" applyFont="1" applyFill="1" applyBorder="1" applyAlignment="1">
      <alignment horizontal="center"/>
    </xf>
    <xf numFmtId="37" fontId="19" fillId="35" borderId="12" xfId="0" applyNumberFormat="1" applyFont="1" applyFill="1" applyBorder="1" applyAlignment="1">
      <alignment horizontal="center"/>
    </xf>
    <xf numFmtId="37" fontId="19" fillId="35" borderId="13" xfId="0" applyNumberFormat="1" applyFont="1" applyFill="1" applyBorder="1" applyAlignment="1">
      <alignment/>
    </xf>
    <xf numFmtId="37" fontId="18" fillId="0" borderId="11" xfId="0" applyNumberFormat="1" applyFont="1" applyFill="1" applyBorder="1" applyAlignment="1">
      <alignment/>
    </xf>
    <xf numFmtId="37" fontId="18" fillId="0" borderId="12" xfId="0" applyNumberFormat="1" applyFont="1" applyFill="1" applyBorder="1" applyAlignment="1">
      <alignment/>
    </xf>
    <xf numFmtId="37" fontId="18" fillId="0" borderId="13" xfId="0" applyNumberFormat="1" applyFont="1" applyFill="1" applyBorder="1" applyAlignment="1">
      <alignment/>
    </xf>
    <xf numFmtId="171" fontId="19" fillId="33" borderId="14" xfId="0" applyNumberFormat="1" applyFont="1" applyFill="1" applyBorder="1" applyAlignment="1">
      <alignment horizontal="right"/>
    </xf>
    <xf numFmtId="171" fontId="19" fillId="0" borderId="15" xfId="0" applyNumberFormat="1" applyFont="1" applyBorder="1" applyAlignment="1">
      <alignment horizontal="left"/>
    </xf>
    <xf numFmtId="171" fontId="19" fillId="0" borderId="15" xfId="0" applyNumberFormat="1" applyFont="1" applyFill="1" applyBorder="1" applyAlignment="1">
      <alignment/>
    </xf>
    <xf numFmtId="171" fontId="19" fillId="0" borderId="0" xfId="0" applyNumberFormat="1" applyFont="1" applyFill="1" applyBorder="1" applyAlignment="1">
      <alignment/>
    </xf>
    <xf numFmtId="171" fontId="19" fillId="0" borderId="16" xfId="0" applyNumberFormat="1" applyFont="1" applyFill="1" applyBorder="1" applyAlignment="1">
      <alignment/>
    </xf>
    <xf numFmtId="37" fontId="19" fillId="0" borderId="15" xfId="0" applyNumberFormat="1" applyFont="1" applyBorder="1" applyAlignment="1">
      <alignment horizontal="left"/>
    </xf>
    <xf numFmtId="37" fontId="19" fillId="35" borderId="15" xfId="0" applyNumberFormat="1" applyFont="1" applyFill="1" applyBorder="1" applyAlignment="1">
      <alignment/>
    </xf>
    <xf numFmtId="37" fontId="19" fillId="35" borderId="0" xfId="0" applyNumberFormat="1" applyFont="1" applyFill="1" applyBorder="1" applyAlignment="1">
      <alignment/>
    </xf>
    <xf numFmtId="37" fontId="19" fillId="35" borderId="16" xfId="0" applyNumberFormat="1" applyFont="1" applyFill="1" applyBorder="1" applyAlignment="1">
      <alignment/>
    </xf>
    <xf numFmtId="37" fontId="19" fillId="33" borderId="15" xfId="0" applyNumberFormat="1" applyFont="1" applyFill="1" applyBorder="1" applyAlignment="1">
      <alignment/>
    </xf>
    <xf numFmtId="37" fontId="19" fillId="0" borderId="15" xfId="0" applyNumberFormat="1" applyFont="1" applyFill="1" applyBorder="1" applyAlignment="1">
      <alignment/>
    </xf>
    <xf numFmtId="37" fontId="19" fillId="0" borderId="0" xfId="0" applyNumberFormat="1" applyFont="1" applyFill="1" applyBorder="1" applyAlignment="1">
      <alignment/>
    </xf>
    <xf numFmtId="37" fontId="19" fillId="0" borderId="16" xfId="0" applyNumberFormat="1" applyFont="1" applyFill="1" applyBorder="1" applyAlignment="1">
      <alignment/>
    </xf>
    <xf numFmtId="9" fontId="19" fillId="33" borderId="14" xfId="57" applyFont="1" applyFill="1" applyBorder="1" applyAlignment="1">
      <alignment horizontal="right"/>
    </xf>
    <xf numFmtId="9" fontId="19" fillId="0" borderId="15" xfId="57" applyFont="1" applyBorder="1" applyAlignment="1">
      <alignment horizontal="left"/>
    </xf>
    <xf numFmtId="10" fontId="19" fillId="35" borderId="15" xfId="57" applyNumberFormat="1" applyFont="1" applyFill="1" applyBorder="1" applyAlignment="1">
      <alignment horizontal="center"/>
    </xf>
    <xf numFmtId="9" fontId="19" fillId="35" borderId="0" xfId="57" applyFont="1" applyFill="1" applyBorder="1" applyAlignment="1">
      <alignment/>
    </xf>
    <xf numFmtId="9" fontId="19" fillId="35" borderId="16" xfId="57" applyFont="1" applyFill="1" applyBorder="1" applyAlignment="1">
      <alignment/>
    </xf>
    <xf numFmtId="9" fontId="19" fillId="33" borderId="15" xfId="57" applyFont="1" applyFill="1" applyBorder="1" applyAlignment="1">
      <alignment/>
    </xf>
    <xf numFmtId="9" fontId="19" fillId="33" borderId="0" xfId="57" applyFont="1" applyFill="1" applyBorder="1" applyAlignment="1">
      <alignment/>
    </xf>
    <xf numFmtId="9" fontId="19" fillId="33" borderId="16" xfId="57" applyFont="1" applyFill="1" applyBorder="1" applyAlignment="1">
      <alignment/>
    </xf>
    <xf numFmtId="9" fontId="19" fillId="35" borderId="15" xfId="57" applyFont="1" applyFill="1" applyBorder="1" applyAlignment="1">
      <alignment horizontal="center"/>
    </xf>
    <xf numFmtId="39" fontId="19" fillId="35" borderId="15" xfId="0" applyNumberFormat="1" applyFont="1" applyFill="1" applyBorder="1" applyAlignment="1">
      <alignment horizontal="center"/>
    </xf>
    <xf numFmtId="37" fontId="19" fillId="35" borderId="0" xfId="0" applyNumberFormat="1" applyFont="1" applyFill="1" applyBorder="1" applyAlignment="1">
      <alignment horizontal="center"/>
    </xf>
    <xf numFmtId="39" fontId="19" fillId="0" borderId="15" xfId="0" applyNumberFormat="1" applyFont="1" applyFill="1" applyBorder="1" applyAlignment="1">
      <alignment/>
    </xf>
    <xf numFmtId="39" fontId="19" fillId="0" borderId="0" xfId="0" applyNumberFormat="1" applyFont="1" applyFill="1" applyBorder="1" applyAlignment="1">
      <alignment/>
    </xf>
    <xf numFmtId="39" fontId="19" fillId="0" borderId="16" xfId="0" applyNumberFormat="1" applyFont="1" applyFill="1" applyBorder="1" applyAlignment="1">
      <alignment/>
    </xf>
    <xf numFmtId="37" fontId="19" fillId="33" borderId="19" xfId="0" applyNumberFormat="1" applyFont="1" applyFill="1" applyBorder="1" applyAlignment="1">
      <alignment horizontal="right"/>
    </xf>
    <xf numFmtId="37" fontId="19" fillId="0" borderId="18" xfId="0" applyNumberFormat="1" applyFont="1" applyFill="1" applyBorder="1" applyAlignment="1">
      <alignment horizontal="left"/>
    </xf>
    <xf numFmtId="37" fontId="19" fillId="35" borderId="18" xfId="0" applyNumberFormat="1" applyFont="1" applyFill="1" applyBorder="1" applyAlignment="1">
      <alignment horizontal="center"/>
    </xf>
    <xf numFmtId="37" fontId="19" fillId="35" borderId="19" xfId="0" applyNumberFormat="1" applyFont="1" applyFill="1" applyBorder="1" applyAlignment="1">
      <alignment/>
    </xf>
    <xf numFmtId="37" fontId="19" fillId="35" borderId="20" xfId="0" applyNumberFormat="1" applyFont="1" applyFill="1" applyBorder="1" applyAlignment="1">
      <alignment/>
    </xf>
    <xf numFmtId="37" fontId="19" fillId="0" borderId="18" xfId="0" applyNumberFormat="1" applyFont="1" applyBorder="1" applyAlignment="1">
      <alignment/>
    </xf>
    <xf numFmtId="37" fontId="19" fillId="0" borderId="19" xfId="0" applyNumberFormat="1" applyFont="1" applyBorder="1" applyAlignment="1">
      <alignment/>
    </xf>
    <xf numFmtId="37" fontId="19" fillId="0" borderId="20" xfId="0" applyNumberFormat="1" applyFont="1" applyBorder="1" applyAlignment="1">
      <alignment/>
    </xf>
    <xf numFmtId="37" fontId="21" fillId="33" borderId="0" xfId="0" applyNumberFormat="1" applyFont="1" applyFill="1" applyAlignment="1">
      <alignment horizontal="left"/>
    </xf>
    <xf numFmtId="37" fontId="7" fillId="33" borderId="0" xfId="0" applyNumberFormat="1" applyFont="1" applyFill="1" applyAlignment="1">
      <alignment horizontal="right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Fill="1" applyAlignment="1">
      <alignment horizontal="right"/>
    </xf>
    <xf numFmtId="37" fontId="7" fillId="33" borderId="0" xfId="0" applyNumberFormat="1" applyFont="1" applyFill="1" applyAlignment="1">
      <alignment horizontal="left"/>
    </xf>
    <xf numFmtId="37" fontId="7" fillId="0" borderId="0" xfId="0" applyNumberFormat="1" applyFont="1" applyFill="1" applyBorder="1" applyAlignment="1">
      <alignment horizontal="right"/>
    </xf>
    <xf numFmtId="165" fontId="17" fillId="33" borderId="0" xfId="57" applyNumberFormat="1" applyFont="1" applyFill="1" applyBorder="1" applyAlignment="1">
      <alignment/>
    </xf>
    <xf numFmtId="37" fontId="16" fillId="38" borderId="15" xfId="0" applyNumberFormat="1" applyFont="1" applyFill="1" applyBorder="1" applyAlignment="1">
      <alignment/>
    </xf>
    <xf numFmtId="37" fontId="16" fillId="38" borderId="0" xfId="0" applyNumberFormat="1" applyFont="1" applyFill="1" applyBorder="1" applyAlignment="1">
      <alignment/>
    </xf>
    <xf numFmtId="37" fontId="16" fillId="38" borderId="16" xfId="0" applyNumberFormat="1" applyFont="1" applyFill="1" applyBorder="1" applyAlignment="1">
      <alignment/>
    </xf>
    <xf numFmtId="37" fontId="16" fillId="38" borderId="18" xfId="0" applyNumberFormat="1" applyFont="1" applyFill="1" applyBorder="1" applyAlignment="1">
      <alignment/>
    </xf>
    <xf numFmtId="37" fontId="16" fillId="38" borderId="19" xfId="0" applyNumberFormat="1" applyFont="1" applyFill="1" applyBorder="1" applyAlignment="1">
      <alignment/>
    </xf>
    <xf numFmtId="37" fontId="16" fillId="38" borderId="20" xfId="0" applyNumberFormat="1" applyFont="1" applyFill="1" applyBorder="1" applyAlignment="1">
      <alignment/>
    </xf>
    <xf numFmtId="37" fontId="17" fillId="38" borderId="14" xfId="0" applyNumberFormat="1" applyFont="1" applyFill="1" applyBorder="1" applyAlignment="1">
      <alignment/>
    </xf>
    <xf numFmtId="37" fontId="17" fillId="38" borderId="17" xfId="0" applyNumberFormat="1" applyFont="1" applyFill="1" applyBorder="1" applyAlignment="1">
      <alignment/>
    </xf>
    <xf numFmtId="37" fontId="17" fillId="38" borderId="14" xfId="0" applyNumberFormat="1" applyFont="1" applyFill="1" applyBorder="1" applyAlignment="1">
      <alignment horizontal="left"/>
    </xf>
    <xf numFmtId="165" fontId="17" fillId="38" borderId="0" xfId="57" applyNumberFormat="1" applyFont="1" applyFill="1" applyBorder="1" applyAlignment="1">
      <alignment/>
    </xf>
    <xf numFmtId="171" fontId="16" fillId="0" borderId="0" xfId="0" applyNumberFormat="1" applyFont="1" applyAlignment="1">
      <alignment/>
    </xf>
    <xf numFmtId="171" fontId="16" fillId="38" borderId="0" xfId="0" applyNumberFormat="1" applyFont="1" applyFill="1" applyBorder="1" applyAlignment="1">
      <alignment/>
    </xf>
    <xf numFmtId="171" fontId="16" fillId="38" borderId="16" xfId="0" applyNumberFormat="1" applyFont="1" applyFill="1" applyBorder="1" applyAlignment="1">
      <alignment/>
    </xf>
    <xf numFmtId="37" fontId="16" fillId="0" borderId="0" xfId="0" applyNumberFormat="1" applyFont="1" applyAlignment="1">
      <alignment horizontal="right"/>
    </xf>
    <xf numFmtId="43" fontId="16" fillId="0" borderId="0" xfId="42" applyFont="1" applyBorder="1" applyAlignment="1">
      <alignment/>
    </xf>
    <xf numFmtId="43" fontId="16" fillId="0" borderId="0" xfId="42" applyFont="1" applyAlignment="1">
      <alignment/>
    </xf>
    <xf numFmtId="43" fontId="16" fillId="0" borderId="0" xfId="42" applyFont="1" applyAlignment="1">
      <alignment horizontal="right"/>
    </xf>
    <xf numFmtId="43" fontId="16" fillId="0" borderId="29" xfId="42" applyFont="1" applyBorder="1" applyAlignment="1">
      <alignment horizontal="center"/>
    </xf>
    <xf numFmtId="43" fontId="16" fillId="0" borderId="29" xfId="42" applyFont="1" applyBorder="1" applyAlignment="1">
      <alignment horizontal="right"/>
    </xf>
    <xf numFmtId="37" fontId="17" fillId="0" borderId="32" xfId="0" applyNumberFormat="1" applyFont="1" applyBorder="1" applyAlignment="1">
      <alignment horizontal="right"/>
    </xf>
    <xf numFmtId="10" fontId="17" fillId="0" borderId="33" xfId="57" applyNumberFormat="1" applyFont="1" applyFill="1" applyBorder="1" applyAlignment="1">
      <alignment/>
    </xf>
    <xf numFmtId="43" fontId="17" fillId="0" borderId="0" xfId="42" applyFont="1" applyBorder="1" applyAlignment="1">
      <alignment/>
    </xf>
    <xf numFmtId="37" fontId="17" fillId="0" borderId="14" xfId="0" applyNumberFormat="1" applyFont="1" applyFill="1" applyBorder="1" applyAlignment="1">
      <alignment/>
    </xf>
    <xf numFmtId="37" fontId="17" fillId="0" borderId="14" xfId="0" applyNumberFormat="1" applyFont="1" applyFill="1" applyBorder="1" applyAlignment="1">
      <alignment horizontal="right"/>
    </xf>
    <xf numFmtId="37" fontId="17" fillId="0" borderId="14" xfId="0" applyNumberFormat="1" applyFont="1" applyFill="1" applyBorder="1" applyAlignment="1">
      <alignment horizontal="left" indent="2"/>
    </xf>
    <xf numFmtId="37" fontId="16" fillId="0" borderId="15" xfId="0" applyNumberFormat="1" applyFont="1" applyFill="1" applyBorder="1" applyAlignment="1">
      <alignment horizontal="left" indent="1"/>
    </xf>
    <xf numFmtId="37" fontId="17" fillId="0" borderId="0" xfId="0" applyNumberFormat="1" applyFont="1" applyFill="1" applyBorder="1" applyAlignment="1">
      <alignment horizontal="center"/>
    </xf>
    <xf numFmtId="37" fontId="17" fillId="0" borderId="14" xfId="0" applyNumberFormat="1" applyFont="1" applyFill="1" applyBorder="1" applyAlignment="1">
      <alignment horizontal="center"/>
    </xf>
    <xf numFmtId="165" fontId="17" fillId="38" borderId="16" xfId="57" applyNumberFormat="1" applyFont="1" applyFill="1" applyBorder="1" applyAlignment="1">
      <alignment/>
    </xf>
    <xf numFmtId="37" fontId="16" fillId="38" borderId="0" xfId="0" applyNumberFormat="1" applyFont="1" applyFill="1" applyBorder="1" applyAlignment="1">
      <alignment horizontal="right"/>
    </xf>
    <xf numFmtId="39" fontId="16" fillId="38" borderId="0" xfId="0" applyNumberFormat="1" applyFont="1" applyFill="1" applyAlignment="1">
      <alignment/>
    </xf>
    <xf numFmtId="37" fontId="16" fillId="0" borderId="15" xfId="0" applyNumberFormat="1" applyFont="1" applyFill="1" applyBorder="1" applyAlignment="1">
      <alignment horizontal="left" indent="2"/>
    </xf>
    <xf numFmtId="37" fontId="16" fillId="0" borderId="0" xfId="0" applyNumberFormat="1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center"/>
    </xf>
    <xf numFmtId="37" fontId="19" fillId="33" borderId="0" xfId="0" applyNumberFormat="1" applyFont="1" applyFill="1" applyBorder="1" applyAlignment="1">
      <alignment horizontal="left" indent="1"/>
    </xf>
    <xf numFmtId="37" fontId="19" fillId="33" borderId="19" xfId="0" applyNumberFormat="1" applyFont="1" applyFill="1" applyBorder="1" applyAlignment="1">
      <alignment horizontal="left" indent="1"/>
    </xf>
    <xf numFmtId="3" fontId="19" fillId="0" borderId="0" xfId="57" applyNumberFormat="1" applyFont="1" applyFill="1" applyBorder="1" applyAlignment="1">
      <alignment horizontal="right"/>
    </xf>
    <xf numFmtId="3" fontId="19" fillId="0" borderId="19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\Documents%20and%20Settings\h_abdallah\Local%20Settings\Temp\Temporary%20Directory%202%20for%20Ea%20Ondeo%20basecase%20revised%20output.zip\Ea%20Ondeo%20basecase%20revised%20outpu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\windows\TEMP\fdpAsSamra%202606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\My%20Documents\Affaires\Samra\EPC\liste%20&#233;quipements1906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\Hassan\Affaires\Samra\lastmission\Financier\As%20Samra%20Financial%20Models%20200103\Bank%20terms%20version%204%20-%20Balloon%2050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lash"/>
      <sheetName val="Inputs"/>
      <sheetName val="Assumptions"/>
      <sheetName val="Summary"/>
      <sheetName val="S&amp;A"/>
      <sheetName val="Waterfall"/>
      <sheetName val="Loans"/>
      <sheetName val="Indices"/>
      <sheetName val="TC &amp; CBP"/>
      <sheetName val="Opex"/>
      <sheetName val="Renewals"/>
      <sheetName val="Capex"/>
      <sheetName val="Dep"/>
      <sheetName val="Tax"/>
      <sheetName val="CF"/>
      <sheetName val="P&amp;L"/>
      <sheetName val="BS"/>
      <sheetName val="Returns"/>
      <sheetName val="Ratios"/>
      <sheetName val="Flows"/>
      <sheetName val="Section summary"/>
    </sheetNames>
    <sheetDataSet>
      <sheetData sheetId="2">
        <row r="11">
          <cell r="L11">
            <v>2</v>
          </cell>
        </row>
        <row r="157">
          <cell r="C157">
            <v>43.8</v>
          </cell>
          <cell r="E157">
            <v>0.005</v>
          </cell>
          <cell r="F157">
            <v>0.0025</v>
          </cell>
        </row>
        <row r="158">
          <cell r="K158">
            <v>14</v>
          </cell>
        </row>
      </sheetData>
      <sheetData sheetId="7">
        <row r="60">
          <cell r="D60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écap"/>
      <sheetName val="Fiche de prix"/>
      <sheetName val="Fournisseurs"/>
      <sheetName val="Codes"/>
      <sheetName val="Summary"/>
    </sheetNames>
    <sheetDataSet>
      <sheetData sheetId="3">
        <row r="6">
          <cell r="F6">
            <v>7.6274069767441866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e par ouvrage"/>
      <sheetName val="bb"/>
      <sheetName val="cc"/>
    </sheetNames>
    <sheetDataSet>
      <sheetData sheetId="1">
        <row r="4">
          <cell r="A4">
            <v>0</v>
          </cell>
          <cell r="B4" t="str">
            <v>MORGANTI</v>
          </cell>
        </row>
        <row r="5">
          <cell r="A5">
            <v>1</v>
          </cell>
          <cell r="B5" t="str">
            <v>Degremont</v>
          </cell>
        </row>
        <row r="6">
          <cell r="A6">
            <v>2</v>
          </cell>
          <cell r="B6" t="str">
            <v>Degremont</v>
          </cell>
        </row>
        <row r="7">
          <cell r="A7">
            <v>3</v>
          </cell>
          <cell r="B7" t="str">
            <v>Degremont</v>
          </cell>
        </row>
        <row r="8">
          <cell r="A8">
            <v>4</v>
          </cell>
          <cell r="B8" t="str">
            <v>Degremont</v>
          </cell>
        </row>
        <row r="9">
          <cell r="A9">
            <v>5</v>
          </cell>
          <cell r="B9" t="str">
            <v>Degremont</v>
          </cell>
        </row>
        <row r="10">
          <cell r="A10">
            <v>6</v>
          </cell>
          <cell r="B10" t="str">
            <v>Degremont</v>
          </cell>
        </row>
        <row r="11">
          <cell r="A11">
            <v>7</v>
          </cell>
          <cell r="B11" t="str">
            <v>Degremont</v>
          </cell>
        </row>
        <row r="12">
          <cell r="A12">
            <v>8</v>
          </cell>
          <cell r="B12" t="str">
            <v>Degremont</v>
          </cell>
        </row>
        <row r="13">
          <cell r="A13">
            <v>9</v>
          </cell>
          <cell r="B13" t="str">
            <v>Degremont</v>
          </cell>
        </row>
        <row r="14">
          <cell r="A14">
            <v>10</v>
          </cell>
          <cell r="B14" t="str">
            <v>Degremont</v>
          </cell>
        </row>
        <row r="15">
          <cell r="A15">
            <v>11</v>
          </cell>
          <cell r="B15" t="str">
            <v>Degremont</v>
          </cell>
        </row>
        <row r="16">
          <cell r="A16">
            <v>12</v>
          </cell>
          <cell r="B16" t="str">
            <v>Degremont</v>
          </cell>
        </row>
        <row r="17">
          <cell r="A17">
            <v>13</v>
          </cell>
          <cell r="B17" t="str">
            <v>Degremont</v>
          </cell>
        </row>
        <row r="18">
          <cell r="A18">
            <v>14</v>
          </cell>
          <cell r="B18" t="str">
            <v>Degremont</v>
          </cell>
        </row>
        <row r="19">
          <cell r="A19">
            <v>15</v>
          </cell>
          <cell r="B19" t="str">
            <v>Degremont</v>
          </cell>
        </row>
        <row r="20">
          <cell r="A20">
            <v>16</v>
          </cell>
          <cell r="B20" t="str">
            <v>Degremont</v>
          </cell>
        </row>
        <row r="21">
          <cell r="A21">
            <v>17</v>
          </cell>
          <cell r="B21" t="str">
            <v>Degremont</v>
          </cell>
        </row>
        <row r="22">
          <cell r="A22">
            <v>18</v>
          </cell>
          <cell r="B22" t="str">
            <v>Degremont</v>
          </cell>
        </row>
        <row r="23">
          <cell r="A23">
            <v>19</v>
          </cell>
          <cell r="B23" t="str">
            <v>Degremont</v>
          </cell>
        </row>
        <row r="24">
          <cell r="A24">
            <v>20</v>
          </cell>
          <cell r="B24" t="str">
            <v>Degremont</v>
          </cell>
        </row>
        <row r="25">
          <cell r="A25">
            <v>21</v>
          </cell>
          <cell r="B25" t="str">
            <v>Degremont</v>
          </cell>
        </row>
        <row r="26">
          <cell r="A26">
            <v>22</v>
          </cell>
          <cell r="B26" t="str">
            <v>Degremont</v>
          </cell>
        </row>
        <row r="27">
          <cell r="A27">
            <v>23</v>
          </cell>
          <cell r="B27" t="str">
            <v>Degremont</v>
          </cell>
        </row>
        <row r="28">
          <cell r="A28">
            <v>24</v>
          </cell>
          <cell r="B28" t="str">
            <v>Degremont</v>
          </cell>
        </row>
        <row r="29">
          <cell r="A29">
            <v>25</v>
          </cell>
          <cell r="B29" t="str">
            <v>Degremont</v>
          </cell>
        </row>
        <row r="30">
          <cell r="A30">
            <v>26</v>
          </cell>
          <cell r="B30" t="str">
            <v>Degremont</v>
          </cell>
        </row>
        <row r="31">
          <cell r="A31">
            <v>27</v>
          </cell>
          <cell r="B31" t="str">
            <v>Degremont</v>
          </cell>
        </row>
        <row r="32">
          <cell r="A32">
            <v>28</v>
          </cell>
          <cell r="B32" t="str">
            <v>Degremont</v>
          </cell>
        </row>
        <row r="33">
          <cell r="A33">
            <v>29</v>
          </cell>
          <cell r="B33" t="str">
            <v>Degremont</v>
          </cell>
        </row>
        <row r="34">
          <cell r="A34">
            <v>30</v>
          </cell>
          <cell r="B34" t="str">
            <v>Degremont</v>
          </cell>
        </row>
        <row r="35">
          <cell r="A35">
            <v>31</v>
          </cell>
          <cell r="B35" t="str">
            <v>Degremont</v>
          </cell>
        </row>
        <row r="36">
          <cell r="A36">
            <v>32</v>
          </cell>
          <cell r="B36" t="str">
            <v>Degremont</v>
          </cell>
        </row>
        <row r="37">
          <cell r="A37">
            <v>33</v>
          </cell>
          <cell r="B37" t="str">
            <v>Degremont</v>
          </cell>
        </row>
        <row r="38">
          <cell r="A38">
            <v>34</v>
          </cell>
          <cell r="B38" t="str">
            <v>Degremont</v>
          </cell>
        </row>
        <row r="39">
          <cell r="A39">
            <v>35</v>
          </cell>
          <cell r="B39" t="str">
            <v>Degremont</v>
          </cell>
        </row>
        <row r="40">
          <cell r="A40">
            <v>36</v>
          </cell>
          <cell r="B40" t="str">
            <v>Degremont</v>
          </cell>
        </row>
        <row r="41">
          <cell r="A41">
            <v>37</v>
          </cell>
          <cell r="B41" t="str">
            <v>Degremont</v>
          </cell>
        </row>
        <row r="42">
          <cell r="A42">
            <v>38</v>
          </cell>
          <cell r="B42" t="str">
            <v>Degremont</v>
          </cell>
        </row>
        <row r="43">
          <cell r="A43">
            <v>39</v>
          </cell>
          <cell r="B43" t="str">
            <v>Degremont</v>
          </cell>
        </row>
        <row r="44">
          <cell r="A44">
            <v>40</v>
          </cell>
          <cell r="B44" t="str">
            <v>Degremont</v>
          </cell>
        </row>
        <row r="45">
          <cell r="A45">
            <v>41</v>
          </cell>
          <cell r="B45" t="str">
            <v>Degremont</v>
          </cell>
        </row>
        <row r="46">
          <cell r="A46">
            <v>42</v>
          </cell>
          <cell r="B46" t="str">
            <v>Degremont</v>
          </cell>
        </row>
        <row r="47">
          <cell r="A47">
            <v>43</v>
          </cell>
          <cell r="B47" t="str">
            <v>Degremont</v>
          </cell>
        </row>
        <row r="48">
          <cell r="A48">
            <v>44</v>
          </cell>
          <cell r="B48" t="str">
            <v>Degremont</v>
          </cell>
        </row>
        <row r="49">
          <cell r="A49">
            <v>45</v>
          </cell>
          <cell r="B49" t="str">
            <v>Degremont</v>
          </cell>
        </row>
        <row r="50">
          <cell r="A50">
            <v>46</v>
          </cell>
          <cell r="B50" t="str">
            <v>Degremont</v>
          </cell>
        </row>
        <row r="51">
          <cell r="A51">
            <v>47</v>
          </cell>
          <cell r="B51" t="str">
            <v>Degremont</v>
          </cell>
        </row>
        <row r="52">
          <cell r="A52">
            <v>48</v>
          </cell>
          <cell r="B52" t="str">
            <v>Degremont</v>
          </cell>
        </row>
        <row r="53">
          <cell r="A53">
            <v>49</v>
          </cell>
          <cell r="B53" t="str">
            <v>Degremont</v>
          </cell>
        </row>
        <row r="54">
          <cell r="A54">
            <v>50</v>
          </cell>
          <cell r="B54" t="str">
            <v>Degremont</v>
          </cell>
        </row>
        <row r="55">
          <cell r="A55">
            <v>51</v>
          </cell>
          <cell r="B55" t="str">
            <v>Degremont</v>
          </cell>
        </row>
        <row r="56">
          <cell r="A56">
            <v>52</v>
          </cell>
          <cell r="B56" t="str">
            <v>Degremont</v>
          </cell>
        </row>
        <row r="57">
          <cell r="A57">
            <v>53</v>
          </cell>
          <cell r="B57" t="str">
            <v>Degremont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plash"/>
      <sheetName val="Version Control"/>
      <sheetName val="Inputs"/>
      <sheetName val="Assumptions"/>
      <sheetName val="Summary"/>
      <sheetName val="Graphs"/>
      <sheetName val="S&amp;A"/>
      <sheetName val="Waterfall"/>
      <sheetName val="Indices"/>
      <sheetName val="Loans"/>
      <sheetName val="Opex"/>
      <sheetName val="TC &amp; CBP"/>
      <sheetName val="Renewals"/>
      <sheetName val="Capex"/>
      <sheetName val="Dep"/>
      <sheetName val="Tax"/>
      <sheetName val="CF"/>
      <sheetName val="P&amp;L"/>
      <sheetName val="BS"/>
      <sheetName val="Returns"/>
      <sheetName val="Ratios"/>
      <sheetName val="Section summary"/>
      <sheetName val="Graph data"/>
    </sheetNames>
    <sheetDataSet>
      <sheetData sheetId="3">
        <row r="101">
          <cell r="K101">
            <v>0.7088176920895946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T159"/>
  <sheetViews>
    <sheetView showGridLines="0" zoomScale="50" zoomScaleNormal="50" zoomScalePageLayoutView="75" workbookViewId="0" topLeftCell="A1">
      <selection activeCell="C1" sqref="C1"/>
    </sheetView>
  </sheetViews>
  <sheetFormatPr defaultColWidth="8.8515625" defaultRowHeight="12.75"/>
  <cols>
    <col min="1" max="1" width="6.28125" style="1" customWidth="1"/>
    <col min="2" max="2" width="4.421875" style="1" customWidth="1"/>
    <col min="3" max="3" width="65.140625" style="2" customWidth="1"/>
    <col min="4" max="4" width="16.140625" style="3" bestFit="1" customWidth="1"/>
    <col min="5" max="5" width="21.00390625" style="4" customWidth="1"/>
    <col min="6" max="6" width="16.140625" style="4" bestFit="1" customWidth="1"/>
    <col min="7" max="7" width="19.28125" style="5" customWidth="1"/>
    <col min="8" max="8" width="16.140625" style="5" bestFit="1" customWidth="1"/>
    <col min="9" max="9" width="14.140625" style="5" bestFit="1" customWidth="1"/>
    <col min="10" max="10" width="13.00390625" style="5" bestFit="1" customWidth="1"/>
    <col min="11" max="11" width="18.421875" style="4" customWidth="1"/>
    <col min="12" max="12" width="13.421875" style="4" bestFit="1" customWidth="1"/>
    <col min="13" max="16" width="13.00390625" style="4" bestFit="1" customWidth="1"/>
    <col min="17" max="17" width="13.00390625" style="4" customWidth="1"/>
    <col min="18" max="20" width="13.00390625" style="4" bestFit="1" customWidth="1"/>
    <col min="21" max="22" width="14.7109375" style="4" customWidth="1"/>
    <col min="23" max="23" width="13.421875" style="4" customWidth="1"/>
    <col min="24" max="24" width="13.7109375" style="4" customWidth="1"/>
    <col min="25" max="28" width="13.421875" style="4" bestFit="1" customWidth="1"/>
    <col min="29" max="29" width="13.7109375" style="4" customWidth="1"/>
    <col min="30" max="30" width="13.00390625" style="4" bestFit="1" customWidth="1"/>
    <col min="31" max="32" width="13.421875" style="4" bestFit="1" customWidth="1"/>
    <col min="33" max="16384" width="8.8515625" style="4" customWidth="1"/>
  </cols>
  <sheetData>
    <row r="1" spans="1:56" ht="18.75">
      <c r="A1" s="416" t="s">
        <v>35</v>
      </c>
      <c r="B1" s="417"/>
      <c r="C1" s="418"/>
      <c r="D1" s="419"/>
      <c r="E1" s="420"/>
      <c r="F1" s="420"/>
      <c r="G1" s="421"/>
      <c r="H1" s="421"/>
      <c r="I1" s="421"/>
      <c r="J1" s="421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0"/>
      <c r="BD1" s="420"/>
    </row>
    <row r="2" spans="1:56" ht="18.75">
      <c r="A2" s="422"/>
      <c r="B2" s="417"/>
      <c r="C2" s="418"/>
      <c r="D2" s="419"/>
      <c r="E2" s="420"/>
      <c r="F2" s="420"/>
      <c r="G2" s="421"/>
      <c r="H2" s="421"/>
      <c r="I2" s="421"/>
      <c r="J2" s="421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Q2" s="420"/>
      <c r="AR2" s="420"/>
      <c r="AS2" s="420"/>
      <c r="AT2" s="420"/>
      <c r="AU2" s="420"/>
      <c r="AV2" s="420"/>
      <c r="AW2" s="420"/>
      <c r="AX2" s="420"/>
      <c r="AY2" s="420"/>
      <c r="AZ2" s="420"/>
      <c r="BA2" s="420"/>
      <c r="BB2" s="420"/>
      <c r="BC2" s="420"/>
      <c r="BD2" s="420"/>
    </row>
    <row r="3" spans="1:56" ht="18.75">
      <c r="A3" s="416" t="s">
        <v>30</v>
      </c>
      <c r="B3" s="417"/>
      <c r="C3" s="418"/>
      <c r="D3" s="423"/>
      <c r="E3" s="420"/>
      <c r="F3" s="420"/>
      <c r="G3" s="421"/>
      <c r="H3" s="421"/>
      <c r="I3" s="421"/>
      <c r="J3" s="421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0"/>
      <c r="AR3" s="420"/>
      <c r="AS3" s="420"/>
      <c r="AT3" s="420"/>
      <c r="AU3" s="420"/>
      <c r="AV3" s="420"/>
      <c r="AW3" s="420"/>
      <c r="AX3" s="420"/>
      <c r="AY3" s="420"/>
      <c r="AZ3" s="420"/>
      <c r="BA3" s="420"/>
      <c r="BB3" s="420"/>
      <c r="BC3" s="420"/>
      <c r="BD3" s="420"/>
    </row>
    <row r="4" spans="1:56" ht="19.5" thickBot="1">
      <c r="A4" s="422"/>
      <c r="B4" s="417"/>
      <c r="C4" s="418"/>
      <c r="D4" s="424"/>
      <c r="E4" s="420"/>
      <c r="F4" s="420"/>
      <c r="G4" s="421"/>
      <c r="H4" s="421"/>
      <c r="I4" s="421"/>
      <c r="J4" s="421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  <c r="BA4" s="420"/>
      <c r="BB4" s="420"/>
      <c r="BC4" s="420"/>
      <c r="BD4" s="420"/>
    </row>
    <row r="5" spans="1:56" ht="19.5" thickBot="1">
      <c r="A5" s="425"/>
      <c r="B5" s="426"/>
      <c r="C5" s="427"/>
      <c r="D5" s="428"/>
      <c r="E5" s="429"/>
      <c r="F5" s="420"/>
      <c r="G5" s="421"/>
      <c r="H5" s="421"/>
      <c r="I5" s="421"/>
      <c r="J5" s="421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N5" s="420"/>
      <c r="AO5" s="420"/>
      <c r="AP5" s="420"/>
      <c r="AQ5" s="420"/>
      <c r="AR5" s="420"/>
      <c r="AS5" s="420"/>
      <c r="AT5" s="420"/>
      <c r="AU5" s="420"/>
      <c r="AV5" s="420"/>
      <c r="AW5" s="420"/>
      <c r="AX5" s="420"/>
      <c r="AY5" s="420"/>
      <c r="AZ5" s="420"/>
      <c r="BA5" s="420"/>
      <c r="BB5" s="420"/>
      <c r="BC5" s="420"/>
      <c r="BD5" s="420"/>
    </row>
    <row r="6" spans="1:56" ht="19.5" thickBot="1">
      <c r="A6" s="430" t="s">
        <v>40</v>
      </c>
      <c r="B6" s="431"/>
      <c r="C6" s="432"/>
      <c r="D6" s="433">
        <v>4</v>
      </c>
      <c r="E6" s="434" t="s">
        <v>41</v>
      </c>
      <c r="F6" s="420"/>
      <c r="G6" s="421"/>
      <c r="H6" s="421"/>
      <c r="I6" s="421"/>
      <c r="J6" s="421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  <c r="AX6" s="420"/>
      <c r="AY6" s="420"/>
      <c r="AZ6" s="420"/>
      <c r="BA6" s="420"/>
      <c r="BB6" s="420"/>
      <c r="BC6" s="420"/>
      <c r="BD6" s="420"/>
    </row>
    <row r="7" spans="1:56" ht="18.75">
      <c r="A7" s="435"/>
      <c r="B7" s="431"/>
      <c r="C7" s="432"/>
      <c r="D7" s="436"/>
      <c r="E7" s="437"/>
      <c r="F7" s="420"/>
      <c r="G7" s="421"/>
      <c r="H7" s="421"/>
      <c r="I7" s="421"/>
      <c r="J7" s="421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0"/>
      <c r="AN7" s="420"/>
      <c r="AO7" s="420"/>
      <c r="AP7" s="420"/>
      <c r="AQ7" s="420"/>
      <c r="AR7" s="420"/>
      <c r="AS7" s="420"/>
      <c r="AT7" s="420"/>
      <c r="AU7" s="420"/>
      <c r="AV7" s="420"/>
      <c r="AW7" s="420"/>
      <c r="AX7" s="420"/>
      <c r="AY7" s="420"/>
      <c r="AZ7" s="420"/>
      <c r="BA7" s="420"/>
      <c r="BB7" s="420"/>
      <c r="BC7" s="420"/>
      <c r="BD7" s="420"/>
    </row>
    <row r="8" spans="1:56" ht="19.5" thickBot="1">
      <c r="A8" s="438" t="s">
        <v>55</v>
      </c>
      <c r="B8" s="431"/>
      <c r="C8" s="432"/>
      <c r="D8" s="439"/>
      <c r="E8" s="437"/>
      <c r="F8" s="420"/>
      <c r="G8" s="440" t="s">
        <v>47</v>
      </c>
      <c r="H8" s="421"/>
      <c r="I8" s="421"/>
      <c r="J8" s="421"/>
      <c r="K8" s="441" t="s">
        <v>0</v>
      </c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20"/>
      <c r="AZ8" s="420"/>
      <c r="BA8" s="420"/>
      <c r="BB8" s="420"/>
      <c r="BC8" s="420"/>
      <c r="BD8" s="420"/>
    </row>
    <row r="9" spans="1:56" ht="19.5" thickBot="1">
      <c r="A9" s="442" t="s">
        <v>110</v>
      </c>
      <c r="B9" s="431"/>
      <c r="C9" s="432"/>
      <c r="D9" s="443">
        <v>5</v>
      </c>
      <c r="E9" s="437" t="s">
        <v>29</v>
      </c>
      <c r="F9" s="420"/>
      <c r="G9" s="444">
        <v>0.2</v>
      </c>
      <c r="H9" s="445">
        <v>0.4</v>
      </c>
      <c r="I9" s="445">
        <v>0.35</v>
      </c>
      <c r="J9" s="446">
        <v>0.05</v>
      </c>
      <c r="K9" s="447">
        <f>SUM(G9:J9)</f>
        <v>1</v>
      </c>
      <c r="L9" s="420" t="str">
        <f>IF(K9=100%,"OK","ERROR")</f>
        <v>OK</v>
      </c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20"/>
    </row>
    <row r="10" spans="1:56" ht="19.5" thickBot="1">
      <c r="A10" s="442" t="s">
        <v>17</v>
      </c>
      <c r="B10" s="431"/>
      <c r="C10" s="432"/>
      <c r="D10" s="448">
        <v>5</v>
      </c>
      <c r="E10" s="437" t="s">
        <v>29</v>
      </c>
      <c r="F10" s="420"/>
      <c r="G10" s="444">
        <v>0.2</v>
      </c>
      <c r="H10" s="445">
        <v>0.4</v>
      </c>
      <c r="I10" s="445">
        <v>0.35</v>
      </c>
      <c r="J10" s="446">
        <v>0.05</v>
      </c>
      <c r="K10" s="447">
        <f>SUM(G10:J10)</f>
        <v>1</v>
      </c>
      <c r="L10" s="420" t="str">
        <f>IF(K10=100%,"OK","ERROR")</f>
        <v>OK</v>
      </c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</row>
    <row r="11" spans="1:56" ht="19.5" thickBot="1">
      <c r="A11" s="442" t="s">
        <v>18</v>
      </c>
      <c r="B11" s="431"/>
      <c r="C11" s="432"/>
      <c r="D11" s="448">
        <v>5</v>
      </c>
      <c r="E11" s="437" t="s">
        <v>29</v>
      </c>
      <c r="F11" s="420"/>
      <c r="G11" s="444">
        <v>0.2</v>
      </c>
      <c r="H11" s="445">
        <v>0.4</v>
      </c>
      <c r="I11" s="445">
        <v>0.35</v>
      </c>
      <c r="J11" s="446">
        <v>0.05</v>
      </c>
      <c r="K11" s="447">
        <f>SUM(G11:J11)</f>
        <v>1</v>
      </c>
      <c r="L11" s="420" t="str">
        <f>IF(K11=100%,"OK","ERROR")</f>
        <v>OK</v>
      </c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</row>
    <row r="12" spans="1:56" ht="19.5" thickBot="1">
      <c r="A12" s="442" t="s">
        <v>19</v>
      </c>
      <c r="B12" s="431"/>
      <c r="C12" s="432"/>
      <c r="D12" s="448">
        <v>100</v>
      </c>
      <c r="E12" s="437" t="s">
        <v>29</v>
      </c>
      <c r="F12" s="420"/>
      <c r="G12" s="444">
        <v>0.2</v>
      </c>
      <c r="H12" s="445">
        <v>0.4</v>
      </c>
      <c r="I12" s="445">
        <v>0.35</v>
      </c>
      <c r="J12" s="446">
        <v>0.05</v>
      </c>
      <c r="K12" s="447">
        <f>SUM(G12:J12)</f>
        <v>1</v>
      </c>
      <c r="L12" s="420" t="str">
        <f>IF(K12=100%,"OK","ERROR")</f>
        <v>OK</v>
      </c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20"/>
      <c r="BC12" s="420"/>
      <c r="BD12" s="420"/>
    </row>
    <row r="13" spans="1:56" ht="19.5" thickBot="1">
      <c r="A13" s="442" t="s">
        <v>1</v>
      </c>
      <c r="B13" s="431"/>
      <c r="C13" s="432"/>
      <c r="D13" s="449">
        <v>5</v>
      </c>
      <c r="E13" s="437" t="s">
        <v>29</v>
      </c>
      <c r="F13" s="420"/>
      <c r="G13" s="444">
        <v>0.2</v>
      </c>
      <c r="H13" s="445">
        <v>0.4</v>
      </c>
      <c r="I13" s="445">
        <v>0.35</v>
      </c>
      <c r="J13" s="446">
        <v>0.05</v>
      </c>
      <c r="K13" s="447">
        <f>SUM(G13:J13)</f>
        <v>1</v>
      </c>
      <c r="L13" s="420" t="str">
        <f>IF(K13=100%,"OK","ERROR")</f>
        <v>OK</v>
      </c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20"/>
    </row>
    <row r="14" spans="1:56" s="75" customFormat="1" ht="19.5" thickBot="1">
      <c r="A14" s="450" t="s">
        <v>49</v>
      </c>
      <c r="B14" s="451"/>
      <c r="C14" s="452"/>
      <c r="D14" s="453">
        <f>SUM(D9:D13)</f>
        <v>120</v>
      </c>
      <c r="E14" s="434" t="s">
        <v>29</v>
      </c>
      <c r="F14" s="454"/>
      <c r="G14" s="440"/>
      <c r="H14" s="440"/>
      <c r="I14" s="440"/>
      <c r="J14" s="440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</row>
    <row r="15" spans="1:56" ht="18.75">
      <c r="A15" s="455"/>
      <c r="B15" s="431"/>
      <c r="C15" s="432"/>
      <c r="D15" s="428"/>
      <c r="E15" s="437"/>
      <c r="F15" s="420"/>
      <c r="G15" s="421"/>
      <c r="H15" s="421"/>
      <c r="I15" s="421"/>
      <c r="J15" s="421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</row>
    <row r="16" spans="1:56" s="75" customFormat="1" ht="19.5" thickBot="1">
      <c r="A16" s="438" t="s">
        <v>44</v>
      </c>
      <c r="B16" s="451"/>
      <c r="C16" s="452"/>
      <c r="D16" s="439"/>
      <c r="E16" s="434"/>
      <c r="F16" s="454"/>
      <c r="G16" s="440" t="s">
        <v>48</v>
      </c>
      <c r="H16" s="440"/>
      <c r="I16" s="440"/>
      <c r="J16" s="440"/>
      <c r="K16" s="441" t="s">
        <v>0</v>
      </c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4"/>
    </row>
    <row r="17" spans="1:56" ht="19.5" thickBot="1">
      <c r="A17" s="456" t="s">
        <v>39</v>
      </c>
      <c r="B17" s="431"/>
      <c r="C17" s="432"/>
      <c r="D17" s="457">
        <v>0</v>
      </c>
      <c r="E17" s="437" t="s">
        <v>29</v>
      </c>
      <c r="F17" s="420"/>
      <c r="G17" s="458">
        <v>0.2</v>
      </c>
      <c r="H17" s="445">
        <v>0.4</v>
      </c>
      <c r="I17" s="445">
        <v>0.35</v>
      </c>
      <c r="J17" s="446">
        <v>0.05</v>
      </c>
      <c r="K17" s="459">
        <f>SUM(G17:J17)</f>
        <v>1</v>
      </c>
      <c r="L17" s="420" t="str">
        <f>IF(K17=100%,"OK","ERROR")</f>
        <v>OK</v>
      </c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</row>
    <row r="18" spans="1:56" ht="19.5" thickBot="1">
      <c r="A18" s="456" t="s">
        <v>46</v>
      </c>
      <c r="B18" s="431"/>
      <c r="C18" s="432"/>
      <c r="D18" s="460">
        <v>20</v>
      </c>
      <c r="E18" s="437" t="s">
        <v>29</v>
      </c>
      <c r="F18" s="420"/>
      <c r="G18" s="458">
        <v>0</v>
      </c>
      <c r="H18" s="445">
        <v>0</v>
      </c>
      <c r="I18" s="445">
        <v>0.5</v>
      </c>
      <c r="J18" s="446">
        <v>0.5</v>
      </c>
      <c r="K18" s="461">
        <f>SUM(G18:J18)</f>
        <v>1</v>
      </c>
      <c r="L18" s="420" t="str">
        <f>IF(K18=100%,"OK","ERROR")</f>
        <v>OK</v>
      </c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C18" s="420"/>
      <c r="BD18" s="420"/>
    </row>
    <row r="19" spans="1:56" ht="19.5" thickBot="1">
      <c r="A19" s="1089" t="s">
        <v>66</v>
      </c>
      <c r="B19" s="1090"/>
      <c r="C19" s="1091"/>
      <c r="D19" s="462">
        <v>2</v>
      </c>
      <c r="E19" s="437"/>
      <c r="F19" s="420"/>
      <c r="G19" s="421"/>
      <c r="H19" s="421"/>
      <c r="I19" s="421"/>
      <c r="J19" s="421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420"/>
      <c r="AY19" s="420"/>
      <c r="AZ19" s="420"/>
      <c r="BA19" s="420"/>
      <c r="BB19" s="420"/>
      <c r="BC19" s="420"/>
      <c r="BD19" s="420"/>
    </row>
    <row r="20" spans="1:56" ht="19.5" thickBot="1">
      <c r="A20" s="456" t="s">
        <v>38</v>
      </c>
      <c r="B20" s="431"/>
      <c r="C20" s="432"/>
      <c r="D20" s="463">
        <v>0.1</v>
      </c>
      <c r="E20" s="437"/>
      <c r="F20" s="420"/>
      <c r="G20" s="421"/>
      <c r="H20" s="421"/>
      <c r="I20" s="421"/>
      <c r="J20" s="421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</row>
    <row r="21" spans="1:56" ht="19.5" thickBot="1">
      <c r="A21" s="456" t="s">
        <v>32</v>
      </c>
      <c r="B21" s="431"/>
      <c r="C21" s="432"/>
      <c r="D21" s="464">
        <v>15</v>
      </c>
      <c r="E21" s="437" t="s">
        <v>31</v>
      </c>
      <c r="F21" s="420"/>
      <c r="G21" s="440" t="s">
        <v>68</v>
      </c>
      <c r="H21" s="421"/>
      <c r="I21" s="421"/>
      <c r="J21" s="421"/>
      <c r="K21" s="441" t="s">
        <v>0</v>
      </c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</row>
    <row r="22" spans="1:56" ht="19.5" thickBot="1">
      <c r="A22" s="456" t="s">
        <v>69</v>
      </c>
      <c r="B22" s="431"/>
      <c r="C22" s="432"/>
      <c r="D22" s="465">
        <f>D14-D17-D18</f>
        <v>100</v>
      </c>
      <c r="E22" s="437" t="s">
        <v>29</v>
      </c>
      <c r="F22" s="420"/>
      <c r="G22" s="458">
        <v>0</v>
      </c>
      <c r="H22" s="445">
        <v>0</v>
      </c>
      <c r="I22" s="445">
        <v>0.5</v>
      </c>
      <c r="J22" s="446">
        <v>0.5</v>
      </c>
      <c r="K22" s="459">
        <f>SUM(G22:J22)</f>
        <v>1</v>
      </c>
      <c r="L22" s="420" t="str">
        <f>IF(K22=100%,"OK","ERROR")</f>
        <v>OK</v>
      </c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420"/>
      <c r="AN22" s="420"/>
      <c r="AO22" s="420"/>
      <c r="AP22" s="420"/>
      <c r="AQ22" s="420"/>
      <c r="AR22" s="420"/>
      <c r="AS22" s="420"/>
      <c r="AT22" s="420"/>
      <c r="AU22" s="420"/>
      <c r="AV22" s="420"/>
      <c r="AW22" s="420"/>
      <c r="AX22" s="420"/>
      <c r="AY22" s="420"/>
      <c r="AZ22" s="420"/>
      <c r="BA22" s="420"/>
      <c r="BB22" s="420"/>
      <c r="BC22" s="420"/>
      <c r="BD22" s="420"/>
    </row>
    <row r="23" spans="1:56" ht="19.5" thickBot="1">
      <c r="A23" s="456" t="s">
        <v>70</v>
      </c>
      <c r="B23" s="431"/>
      <c r="C23" s="432"/>
      <c r="D23" s="466">
        <f>K23</f>
        <v>10.25</v>
      </c>
      <c r="E23" s="437" t="s">
        <v>29</v>
      </c>
      <c r="F23" s="420"/>
      <c r="G23" s="467">
        <f>$D22*G22*$D20</f>
        <v>0</v>
      </c>
      <c r="H23" s="468">
        <f>($D22+G23)*H22*$D20</f>
        <v>0</v>
      </c>
      <c r="I23" s="468">
        <f>($D22+H23+G23)*I22*$D20</f>
        <v>5</v>
      </c>
      <c r="J23" s="469">
        <f>($D22+I23+H23+G23)*J22*$D20</f>
        <v>5.25</v>
      </c>
      <c r="K23" s="470">
        <f>SUM(G23:J23)</f>
        <v>10.25</v>
      </c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</row>
    <row r="24" spans="1:56" ht="19.5" thickBot="1">
      <c r="A24" s="450" t="s">
        <v>92</v>
      </c>
      <c r="B24" s="431"/>
      <c r="C24" s="432"/>
      <c r="D24" s="466">
        <f>D14-D17-D18+D23</f>
        <v>110.25</v>
      </c>
      <c r="E24" s="437" t="s">
        <v>29</v>
      </c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  <c r="BD24" s="420"/>
    </row>
    <row r="25" spans="1:56" ht="19.5" thickBot="1">
      <c r="A25" s="471"/>
      <c r="B25" s="472"/>
      <c r="C25" s="473"/>
      <c r="D25" s="474"/>
      <c r="E25" s="475"/>
      <c r="F25" s="420"/>
      <c r="G25" s="421"/>
      <c r="H25" s="421"/>
      <c r="I25" s="421"/>
      <c r="J25" s="421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</row>
    <row r="26" spans="1:56" ht="19.5" thickBot="1">
      <c r="A26" s="422"/>
      <c r="B26" s="417"/>
      <c r="C26" s="418"/>
      <c r="D26" s="424"/>
      <c r="E26" s="420"/>
      <c r="F26" s="420"/>
      <c r="G26" s="421"/>
      <c r="H26" s="421"/>
      <c r="I26" s="421"/>
      <c r="J26" s="421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420"/>
      <c r="AL26" s="420"/>
      <c r="AM26" s="420"/>
      <c r="AN26" s="420"/>
      <c r="AO26" s="420"/>
      <c r="AP26" s="420"/>
      <c r="AQ26" s="420"/>
      <c r="AR26" s="420"/>
      <c r="AS26" s="420"/>
      <c r="AT26" s="420"/>
      <c r="AU26" s="420"/>
      <c r="AV26" s="420"/>
      <c r="AW26" s="420"/>
      <c r="AX26" s="420"/>
      <c r="AY26" s="420"/>
      <c r="AZ26" s="420"/>
      <c r="BA26" s="420"/>
      <c r="BB26" s="420"/>
      <c r="BC26" s="420"/>
      <c r="BD26" s="420"/>
    </row>
    <row r="27" spans="1:56" ht="19.5" thickBot="1">
      <c r="A27" s="425"/>
      <c r="B27" s="426"/>
      <c r="C27" s="427"/>
      <c r="D27" s="428"/>
      <c r="E27" s="429"/>
      <c r="F27" s="420"/>
      <c r="G27" s="421"/>
      <c r="H27" s="421"/>
      <c r="I27" s="421"/>
      <c r="J27" s="421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0"/>
      <c r="AY27" s="420"/>
      <c r="AZ27" s="420"/>
      <c r="BA27" s="420"/>
      <c r="BB27" s="420"/>
      <c r="BC27" s="420"/>
      <c r="BD27" s="420"/>
    </row>
    <row r="28" spans="1:56" ht="19.5" thickBot="1">
      <c r="A28" s="476" t="s">
        <v>42</v>
      </c>
      <c r="B28" s="431"/>
      <c r="C28" s="432"/>
      <c r="D28" s="433">
        <v>22</v>
      </c>
      <c r="E28" s="434" t="s">
        <v>41</v>
      </c>
      <c r="F28" s="420"/>
      <c r="G28" s="421"/>
      <c r="H28" s="421"/>
      <c r="I28" s="421"/>
      <c r="J28" s="421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  <c r="AH28" s="420"/>
      <c r="AI28" s="420"/>
      <c r="AJ28" s="420"/>
      <c r="AK28" s="420"/>
      <c r="AL28" s="420"/>
      <c r="AM28" s="420"/>
      <c r="AN28" s="420"/>
      <c r="AO28" s="420"/>
      <c r="AP28" s="420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20"/>
      <c r="BC28" s="420"/>
      <c r="BD28" s="420"/>
    </row>
    <row r="29" spans="1:56" ht="19.5" thickBot="1">
      <c r="A29" s="430"/>
      <c r="B29" s="431"/>
      <c r="C29" s="432"/>
      <c r="D29" s="477"/>
      <c r="E29" s="437"/>
      <c r="F29" s="1068"/>
      <c r="G29" s="421"/>
      <c r="H29" s="421"/>
      <c r="I29" s="421"/>
      <c r="J29" s="421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420"/>
      <c r="AH29" s="420"/>
      <c r="AI29" s="420"/>
      <c r="AJ29" s="420"/>
      <c r="AK29" s="420"/>
      <c r="AL29" s="420"/>
      <c r="AM29" s="420"/>
      <c r="AN29" s="420"/>
      <c r="AO29" s="420"/>
      <c r="AP29" s="420"/>
      <c r="AQ29" s="420"/>
      <c r="AR29" s="420"/>
      <c r="AS29" s="420"/>
      <c r="AT29" s="420"/>
      <c r="AU29" s="420"/>
      <c r="AV29" s="420"/>
      <c r="AW29" s="420"/>
      <c r="AX29" s="420"/>
      <c r="AY29" s="420"/>
      <c r="AZ29" s="420"/>
      <c r="BA29" s="420"/>
      <c r="BB29" s="420"/>
      <c r="BC29" s="420"/>
      <c r="BD29" s="420"/>
    </row>
    <row r="30" spans="1:56" ht="19.5" thickBot="1">
      <c r="A30" s="438" t="s">
        <v>75</v>
      </c>
      <c r="B30" s="421"/>
      <c r="C30" s="432"/>
      <c r="D30" s="463">
        <v>0.08</v>
      </c>
      <c r="E30" s="437"/>
      <c r="F30" s="420"/>
      <c r="G30" s="421"/>
      <c r="H30" s="421"/>
      <c r="I30" s="421"/>
      <c r="J30" s="421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  <c r="AJ30" s="420"/>
      <c r="AK30" s="420"/>
      <c r="AL30" s="420"/>
      <c r="AM30" s="420"/>
      <c r="AN30" s="420"/>
      <c r="AO30" s="420"/>
      <c r="AP30" s="420"/>
      <c r="AQ30" s="420"/>
      <c r="AR30" s="420"/>
      <c r="AS30" s="420"/>
      <c r="AT30" s="420"/>
      <c r="AU30" s="420"/>
      <c r="AV30" s="420"/>
      <c r="AW30" s="420"/>
      <c r="AX30" s="420"/>
      <c r="AY30" s="420"/>
      <c r="AZ30" s="420"/>
      <c r="BA30" s="420"/>
      <c r="BB30" s="420"/>
      <c r="BC30" s="420"/>
      <c r="BD30" s="420"/>
    </row>
    <row r="31" spans="1:56" ht="19.5" thickBot="1">
      <c r="A31" s="430"/>
      <c r="B31" s="421"/>
      <c r="C31" s="432"/>
      <c r="D31" s="478"/>
      <c r="E31" s="437"/>
      <c r="F31" s="420"/>
      <c r="G31" s="421"/>
      <c r="H31" s="421"/>
      <c r="I31" s="421"/>
      <c r="J31" s="421"/>
      <c r="K31" s="454" t="s">
        <v>86</v>
      </c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0"/>
      <c r="AQ31" s="420"/>
      <c r="AR31" s="420"/>
      <c r="AS31" s="420"/>
      <c r="AT31" s="420"/>
      <c r="AU31" s="420"/>
      <c r="AV31" s="420"/>
      <c r="AW31" s="420"/>
      <c r="AX31" s="420"/>
      <c r="AY31" s="420"/>
      <c r="AZ31" s="420"/>
      <c r="BA31" s="420"/>
      <c r="BB31" s="420"/>
      <c r="BC31" s="420"/>
      <c r="BD31" s="420"/>
    </row>
    <row r="32" spans="1:56" ht="19.5" thickBot="1">
      <c r="A32" s="438" t="s">
        <v>99</v>
      </c>
      <c r="B32" s="431"/>
      <c r="C32" s="432"/>
      <c r="D32" s="457">
        <v>200000</v>
      </c>
      <c r="E32" s="437" t="s">
        <v>82</v>
      </c>
      <c r="F32" s="420"/>
      <c r="G32" s="421"/>
      <c r="H32" s="421"/>
      <c r="I32" s="420" t="str">
        <f>IF(J32=100%,"OK","ERROR")</f>
        <v>OK</v>
      </c>
      <c r="J32" s="479">
        <f>SUM(K32:AF32)/22</f>
        <v>1</v>
      </c>
      <c r="K32" s="458">
        <v>1</v>
      </c>
      <c r="L32" s="445">
        <v>1</v>
      </c>
      <c r="M32" s="445">
        <v>1</v>
      </c>
      <c r="N32" s="445">
        <v>1</v>
      </c>
      <c r="O32" s="445">
        <v>1</v>
      </c>
      <c r="P32" s="445">
        <v>1</v>
      </c>
      <c r="Q32" s="445">
        <v>1</v>
      </c>
      <c r="R32" s="445">
        <v>1</v>
      </c>
      <c r="S32" s="445">
        <v>1</v>
      </c>
      <c r="T32" s="445">
        <v>1</v>
      </c>
      <c r="U32" s="445">
        <v>1</v>
      </c>
      <c r="V32" s="445">
        <v>1</v>
      </c>
      <c r="W32" s="445">
        <v>1</v>
      </c>
      <c r="X32" s="445">
        <v>1</v>
      </c>
      <c r="Y32" s="445">
        <v>1</v>
      </c>
      <c r="Z32" s="445">
        <v>1</v>
      </c>
      <c r="AA32" s="445">
        <v>1</v>
      </c>
      <c r="AB32" s="445">
        <v>1</v>
      </c>
      <c r="AC32" s="445">
        <v>1</v>
      </c>
      <c r="AD32" s="445">
        <v>1</v>
      </c>
      <c r="AE32" s="445">
        <v>1</v>
      </c>
      <c r="AF32" s="446">
        <v>1</v>
      </c>
      <c r="AG32" s="420"/>
      <c r="AH32" s="420"/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  <c r="AS32" s="420"/>
      <c r="AT32" s="420"/>
      <c r="AU32" s="420"/>
      <c r="AV32" s="420"/>
      <c r="AW32" s="420"/>
      <c r="AX32" s="420"/>
      <c r="AY32" s="420"/>
      <c r="AZ32" s="420"/>
      <c r="BA32" s="420"/>
      <c r="BB32" s="420"/>
      <c r="BC32" s="420"/>
      <c r="BD32" s="420"/>
    </row>
    <row r="33" spans="1:56" ht="19.5" thickBot="1">
      <c r="A33" s="438" t="s">
        <v>100</v>
      </c>
      <c r="B33" s="431"/>
      <c r="C33" s="432"/>
      <c r="D33" s="457">
        <v>0</v>
      </c>
      <c r="E33" s="437" t="s">
        <v>81</v>
      </c>
      <c r="F33" s="420"/>
      <c r="G33" s="421"/>
      <c r="H33" s="421"/>
      <c r="I33" s="420" t="str">
        <f>IF(J33=100%,"OK","ERROR")</f>
        <v>OK</v>
      </c>
      <c r="J33" s="479">
        <f>SUM(K33:AF33)/22</f>
        <v>1</v>
      </c>
      <c r="K33" s="458">
        <v>1</v>
      </c>
      <c r="L33" s="445">
        <v>1</v>
      </c>
      <c r="M33" s="445">
        <v>1</v>
      </c>
      <c r="N33" s="445">
        <v>1</v>
      </c>
      <c r="O33" s="445">
        <v>1</v>
      </c>
      <c r="P33" s="445">
        <v>1</v>
      </c>
      <c r="Q33" s="445">
        <v>1</v>
      </c>
      <c r="R33" s="445">
        <v>1</v>
      </c>
      <c r="S33" s="445">
        <v>1</v>
      </c>
      <c r="T33" s="445">
        <v>1</v>
      </c>
      <c r="U33" s="445">
        <v>1</v>
      </c>
      <c r="V33" s="445">
        <v>1</v>
      </c>
      <c r="W33" s="445">
        <v>1</v>
      </c>
      <c r="X33" s="445">
        <v>1</v>
      </c>
      <c r="Y33" s="445">
        <v>1</v>
      </c>
      <c r="Z33" s="445">
        <v>1</v>
      </c>
      <c r="AA33" s="445">
        <v>1</v>
      </c>
      <c r="AB33" s="445">
        <v>1</v>
      </c>
      <c r="AC33" s="445">
        <v>1</v>
      </c>
      <c r="AD33" s="445">
        <v>1</v>
      </c>
      <c r="AE33" s="445">
        <v>1</v>
      </c>
      <c r="AF33" s="446">
        <v>1</v>
      </c>
      <c r="AG33" s="420"/>
      <c r="AH33" s="420"/>
      <c r="AI33" s="420"/>
      <c r="AJ33" s="420"/>
      <c r="AK33" s="420"/>
      <c r="AL33" s="420"/>
      <c r="AM33" s="420"/>
      <c r="AN33" s="420"/>
      <c r="AO33" s="420"/>
      <c r="AP33" s="420"/>
      <c r="AQ33" s="420"/>
      <c r="AR33" s="420"/>
      <c r="AS33" s="420"/>
      <c r="AT33" s="420"/>
      <c r="AU33" s="420"/>
      <c r="AV33" s="420"/>
      <c r="AW33" s="420"/>
      <c r="AX33" s="420"/>
      <c r="AY33" s="420"/>
      <c r="AZ33" s="420"/>
      <c r="BA33" s="420"/>
      <c r="BB33" s="420"/>
      <c r="BC33" s="420"/>
      <c r="BD33" s="420"/>
    </row>
    <row r="34" spans="1:56" ht="19.5" thickBot="1">
      <c r="A34" s="455"/>
      <c r="B34" s="431"/>
      <c r="C34" s="432"/>
      <c r="D34" s="480"/>
      <c r="E34" s="437"/>
      <c r="F34" s="420"/>
      <c r="G34" s="421"/>
      <c r="H34" s="421"/>
      <c r="I34" s="421"/>
      <c r="J34" s="421"/>
      <c r="K34" s="454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0"/>
      <c r="AI34" s="420"/>
      <c r="AJ34" s="420"/>
      <c r="AK34" s="420"/>
      <c r="AL34" s="420"/>
      <c r="AM34" s="420"/>
      <c r="AN34" s="420"/>
      <c r="AO34" s="420"/>
      <c r="AP34" s="420"/>
      <c r="AQ34" s="420"/>
      <c r="AR34" s="420"/>
      <c r="AS34" s="420"/>
      <c r="AT34" s="420"/>
      <c r="AU34" s="420"/>
      <c r="AV34" s="420"/>
      <c r="AW34" s="420"/>
      <c r="AX34" s="420"/>
      <c r="AY34" s="420"/>
      <c r="AZ34" s="420"/>
      <c r="BA34" s="420"/>
      <c r="BB34" s="420"/>
      <c r="BC34" s="420"/>
      <c r="BD34" s="420"/>
    </row>
    <row r="35" spans="1:56" s="75" customFormat="1" ht="19.5" thickBot="1">
      <c r="A35" s="438" t="s">
        <v>56</v>
      </c>
      <c r="B35" s="451"/>
      <c r="C35" s="452"/>
      <c r="D35" s="481">
        <v>2</v>
      </c>
      <c r="E35" s="434" t="s">
        <v>54</v>
      </c>
      <c r="F35" s="482" t="s">
        <v>109</v>
      </c>
      <c r="G35" s="440"/>
      <c r="H35" s="440"/>
      <c r="I35" s="483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  <c r="AA35" s="484"/>
      <c r="AB35" s="484"/>
      <c r="AC35" s="484"/>
      <c r="AD35" s="484"/>
      <c r="AE35" s="484"/>
      <c r="AF35" s="484"/>
      <c r="AG35" s="485"/>
      <c r="AH35" s="485"/>
      <c r="AI35" s="485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454"/>
      <c r="BB35" s="454"/>
      <c r="BC35" s="454"/>
      <c r="BD35" s="454"/>
    </row>
    <row r="36" spans="1:56" ht="19.5" thickBot="1">
      <c r="A36" s="455" t="s">
        <v>84</v>
      </c>
      <c r="B36" s="431"/>
      <c r="C36" s="432"/>
      <c r="D36" s="486">
        <v>10</v>
      </c>
      <c r="E36" s="437" t="s">
        <v>106</v>
      </c>
      <c r="F36" s="487" t="s">
        <v>109</v>
      </c>
      <c r="G36" s="1079"/>
      <c r="H36" s="421"/>
      <c r="I36" s="421"/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8"/>
      <c r="U36" s="488"/>
      <c r="V36" s="488"/>
      <c r="W36" s="488"/>
      <c r="X36" s="488"/>
      <c r="Y36" s="488"/>
      <c r="Z36" s="488"/>
      <c r="AA36" s="488"/>
      <c r="AB36" s="488"/>
      <c r="AC36" s="488"/>
      <c r="AD36" s="488"/>
      <c r="AE36" s="488"/>
      <c r="AF36" s="488"/>
      <c r="AG36" s="420"/>
      <c r="AH36" s="420"/>
      <c r="AI36" s="420"/>
      <c r="AJ36" s="420"/>
      <c r="AK36" s="420"/>
      <c r="AL36" s="420"/>
      <c r="AM36" s="420"/>
      <c r="AN36" s="420"/>
      <c r="AO36" s="420"/>
      <c r="AP36" s="420"/>
      <c r="AQ36" s="420"/>
      <c r="AR36" s="420"/>
      <c r="AS36" s="420"/>
      <c r="AT36" s="420"/>
      <c r="AU36" s="420"/>
      <c r="AV36" s="420"/>
      <c r="AW36" s="420"/>
      <c r="AX36" s="420"/>
      <c r="AY36" s="420"/>
      <c r="AZ36" s="420"/>
      <c r="BA36" s="420"/>
      <c r="BB36" s="420"/>
      <c r="BC36" s="420"/>
      <c r="BD36" s="420"/>
    </row>
    <row r="37" spans="1:56" ht="19.5" thickBot="1">
      <c r="A37" s="455" t="s">
        <v>85</v>
      </c>
      <c r="B37" s="431"/>
      <c r="C37" s="432"/>
      <c r="D37" s="486">
        <v>0</v>
      </c>
      <c r="E37" s="437" t="s">
        <v>107</v>
      </c>
      <c r="F37" s="489" t="s">
        <v>109</v>
      </c>
      <c r="G37" s="1079"/>
      <c r="H37" s="421"/>
      <c r="I37" s="490"/>
      <c r="J37" s="488"/>
      <c r="K37" s="483"/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488"/>
      <c r="AA37" s="488"/>
      <c r="AB37" s="488"/>
      <c r="AC37" s="488"/>
      <c r="AD37" s="488"/>
      <c r="AE37" s="488"/>
      <c r="AF37" s="488"/>
      <c r="AG37" s="420"/>
      <c r="AH37" s="420"/>
      <c r="AI37" s="420"/>
      <c r="AJ37" s="420"/>
      <c r="AK37" s="420"/>
      <c r="AL37" s="420"/>
      <c r="AM37" s="420"/>
      <c r="AN37" s="420"/>
      <c r="AO37" s="420"/>
      <c r="AP37" s="420"/>
      <c r="AQ37" s="420"/>
      <c r="AR37" s="420"/>
      <c r="AS37" s="420"/>
      <c r="AT37" s="420"/>
      <c r="AU37" s="420"/>
      <c r="AV37" s="420"/>
      <c r="AW37" s="420"/>
      <c r="AX37" s="420"/>
      <c r="AY37" s="420"/>
      <c r="AZ37" s="420"/>
      <c r="BA37" s="420"/>
      <c r="BB37" s="420"/>
      <c r="BC37" s="420"/>
      <c r="BD37" s="420"/>
    </row>
    <row r="38" spans="1:124" s="75" customFormat="1" ht="19.5" thickBot="1">
      <c r="A38" s="438" t="s">
        <v>57</v>
      </c>
      <c r="B38" s="451"/>
      <c r="C38" s="452"/>
      <c r="D38" s="491">
        <f>AVERAGE(K38:AF38)</f>
        <v>1.0292999999999994</v>
      </c>
      <c r="E38" s="434" t="s">
        <v>83</v>
      </c>
      <c r="F38" s="482" t="s">
        <v>109</v>
      </c>
      <c r="G38" s="440"/>
      <c r="H38" s="440"/>
      <c r="I38" s="483"/>
      <c r="J38" s="484"/>
      <c r="K38" s="492">
        <f aca="true" t="shared" si="0" ref="K38:BV38">$D$36/1000*1.41*$D$32*K32*365/1000000+$D$37/1000*1.41*$D$33*K33*365/1000000</f>
        <v>1.0293</v>
      </c>
      <c r="L38" s="492">
        <f t="shared" si="0"/>
        <v>1.0293</v>
      </c>
      <c r="M38" s="492">
        <f t="shared" si="0"/>
        <v>1.0293</v>
      </c>
      <c r="N38" s="492">
        <f t="shared" si="0"/>
        <v>1.0293</v>
      </c>
      <c r="O38" s="492">
        <f t="shared" si="0"/>
        <v>1.0293</v>
      </c>
      <c r="P38" s="492">
        <f t="shared" si="0"/>
        <v>1.0293</v>
      </c>
      <c r="Q38" s="492">
        <f t="shared" si="0"/>
        <v>1.0293</v>
      </c>
      <c r="R38" s="492">
        <f t="shared" si="0"/>
        <v>1.0293</v>
      </c>
      <c r="S38" s="492">
        <f t="shared" si="0"/>
        <v>1.0293</v>
      </c>
      <c r="T38" s="492">
        <f t="shared" si="0"/>
        <v>1.0293</v>
      </c>
      <c r="U38" s="492">
        <f t="shared" si="0"/>
        <v>1.0293</v>
      </c>
      <c r="V38" s="492">
        <f t="shared" si="0"/>
        <v>1.0293</v>
      </c>
      <c r="W38" s="492">
        <f t="shared" si="0"/>
        <v>1.0293</v>
      </c>
      <c r="X38" s="492">
        <f t="shared" si="0"/>
        <v>1.0293</v>
      </c>
      <c r="Y38" s="492">
        <f t="shared" si="0"/>
        <v>1.0293</v>
      </c>
      <c r="Z38" s="492">
        <f t="shared" si="0"/>
        <v>1.0293</v>
      </c>
      <c r="AA38" s="492">
        <f t="shared" si="0"/>
        <v>1.0293</v>
      </c>
      <c r="AB38" s="492">
        <f t="shared" si="0"/>
        <v>1.0293</v>
      </c>
      <c r="AC38" s="492">
        <f t="shared" si="0"/>
        <v>1.0293</v>
      </c>
      <c r="AD38" s="492">
        <f t="shared" si="0"/>
        <v>1.0293</v>
      </c>
      <c r="AE38" s="492">
        <f t="shared" si="0"/>
        <v>1.0293</v>
      </c>
      <c r="AF38" s="492">
        <f t="shared" si="0"/>
        <v>1.0293</v>
      </c>
      <c r="AG38" s="492">
        <f t="shared" si="0"/>
        <v>0</v>
      </c>
      <c r="AH38" s="492">
        <f t="shared" si="0"/>
        <v>0</v>
      </c>
      <c r="AI38" s="492">
        <f t="shared" si="0"/>
        <v>0</v>
      </c>
      <c r="AJ38" s="492">
        <f t="shared" si="0"/>
        <v>0</v>
      </c>
      <c r="AK38" s="492">
        <f t="shared" si="0"/>
        <v>0</v>
      </c>
      <c r="AL38" s="492">
        <f t="shared" si="0"/>
        <v>0</v>
      </c>
      <c r="AM38" s="492">
        <f t="shared" si="0"/>
        <v>0</v>
      </c>
      <c r="AN38" s="492">
        <f t="shared" si="0"/>
        <v>0</v>
      </c>
      <c r="AO38" s="492">
        <f t="shared" si="0"/>
        <v>0</v>
      </c>
      <c r="AP38" s="492">
        <f t="shared" si="0"/>
        <v>0</v>
      </c>
      <c r="AQ38" s="492">
        <f t="shared" si="0"/>
        <v>0</v>
      </c>
      <c r="AR38" s="492">
        <f t="shared" si="0"/>
        <v>0</v>
      </c>
      <c r="AS38" s="492">
        <f t="shared" si="0"/>
        <v>0</v>
      </c>
      <c r="AT38" s="492">
        <f t="shared" si="0"/>
        <v>0</v>
      </c>
      <c r="AU38" s="492">
        <f t="shared" si="0"/>
        <v>0</v>
      </c>
      <c r="AV38" s="492">
        <f t="shared" si="0"/>
        <v>0</v>
      </c>
      <c r="AW38" s="492">
        <f t="shared" si="0"/>
        <v>0</v>
      </c>
      <c r="AX38" s="492">
        <f t="shared" si="0"/>
        <v>0</v>
      </c>
      <c r="AY38" s="492">
        <f t="shared" si="0"/>
        <v>0</v>
      </c>
      <c r="AZ38" s="492">
        <f t="shared" si="0"/>
        <v>0</v>
      </c>
      <c r="BA38" s="492">
        <f t="shared" si="0"/>
        <v>0</v>
      </c>
      <c r="BB38" s="492">
        <f t="shared" si="0"/>
        <v>0</v>
      </c>
      <c r="BC38" s="492">
        <f t="shared" si="0"/>
        <v>0</v>
      </c>
      <c r="BD38" s="492">
        <f t="shared" si="0"/>
        <v>0</v>
      </c>
      <c r="BE38" s="341">
        <f t="shared" si="0"/>
        <v>0</v>
      </c>
      <c r="BF38" s="341">
        <f t="shared" si="0"/>
        <v>0</v>
      </c>
      <c r="BG38" s="341">
        <f t="shared" si="0"/>
        <v>0</v>
      </c>
      <c r="BH38" s="341">
        <f t="shared" si="0"/>
        <v>0</v>
      </c>
      <c r="BI38" s="341">
        <f t="shared" si="0"/>
        <v>0</v>
      </c>
      <c r="BJ38" s="341">
        <f t="shared" si="0"/>
        <v>0</v>
      </c>
      <c r="BK38" s="341">
        <f t="shared" si="0"/>
        <v>0</v>
      </c>
      <c r="BL38" s="341">
        <f t="shared" si="0"/>
        <v>0</v>
      </c>
      <c r="BM38" s="341">
        <f t="shared" si="0"/>
        <v>0</v>
      </c>
      <c r="BN38" s="341">
        <f t="shared" si="0"/>
        <v>0</v>
      </c>
      <c r="BO38" s="341">
        <f t="shared" si="0"/>
        <v>0</v>
      </c>
      <c r="BP38" s="341">
        <f t="shared" si="0"/>
        <v>0</v>
      </c>
      <c r="BQ38" s="341">
        <f t="shared" si="0"/>
        <v>0</v>
      </c>
      <c r="BR38" s="341">
        <f t="shared" si="0"/>
        <v>0</v>
      </c>
      <c r="BS38" s="341">
        <f t="shared" si="0"/>
        <v>0</v>
      </c>
      <c r="BT38" s="341">
        <f t="shared" si="0"/>
        <v>0</v>
      </c>
      <c r="BU38" s="341">
        <f t="shared" si="0"/>
        <v>0</v>
      </c>
      <c r="BV38" s="341">
        <f t="shared" si="0"/>
        <v>0</v>
      </c>
      <c r="BW38" s="341">
        <f aca="true" t="shared" si="1" ref="BW38:DT38">$D$36/1000*1.41*$D$32*BW32*365/1000000+$D$37/1000*1.41*$D$33*BW33*365/1000000</f>
        <v>0</v>
      </c>
      <c r="BX38" s="341">
        <f t="shared" si="1"/>
        <v>0</v>
      </c>
      <c r="BY38" s="341">
        <f t="shared" si="1"/>
        <v>0</v>
      </c>
      <c r="BZ38" s="341">
        <f t="shared" si="1"/>
        <v>0</v>
      </c>
      <c r="CA38" s="341">
        <f t="shared" si="1"/>
        <v>0</v>
      </c>
      <c r="CB38" s="341">
        <f t="shared" si="1"/>
        <v>0</v>
      </c>
      <c r="CC38" s="341">
        <f t="shared" si="1"/>
        <v>0</v>
      </c>
      <c r="CD38" s="341">
        <f t="shared" si="1"/>
        <v>0</v>
      </c>
      <c r="CE38" s="341">
        <f t="shared" si="1"/>
        <v>0</v>
      </c>
      <c r="CF38" s="341">
        <f t="shared" si="1"/>
        <v>0</v>
      </c>
      <c r="CG38" s="341">
        <f t="shared" si="1"/>
        <v>0</v>
      </c>
      <c r="CH38" s="341">
        <f t="shared" si="1"/>
        <v>0</v>
      </c>
      <c r="CI38" s="341">
        <f t="shared" si="1"/>
        <v>0</v>
      </c>
      <c r="CJ38" s="341">
        <f t="shared" si="1"/>
        <v>0</v>
      </c>
      <c r="CK38" s="341">
        <f t="shared" si="1"/>
        <v>0</v>
      </c>
      <c r="CL38" s="341">
        <f t="shared" si="1"/>
        <v>0</v>
      </c>
      <c r="CM38" s="341">
        <f t="shared" si="1"/>
        <v>0</v>
      </c>
      <c r="CN38" s="341">
        <f t="shared" si="1"/>
        <v>0</v>
      </c>
      <c r="CO38" s="341">
        <f t="shared" si="1"/>
        <v>0</v>
      </c>
      <c r="CP38" s="341">
        <f t="shared" si="1"/>
        <v>0</v>
      </c>
      <c r="CQ38" s="341">
        <f t="shared" si="1"/>
        <v>0</v>
      </c>
      <c r="CR38" s="341">
        <f t="shared" si="1"/>
        <v>0</v>
      </c>
      <c r="CS38" s="341">
        <f t="shared" si="1"/>
        <v>0</v>
      </c>
      <c r="CT38" s="341">
        <f t="shared" si="1"/>
        <v>0</v>
      </c>
      <c r="CU38" s="341">
        <f t="shared" si="1"/>
        <v>0</v>
      </c>
      <c r="CV38" s="341">
        <f t="shared" si="1"/>
        <v>0</v>
      </c>
      <c r="CW38" s="341">
        <f t="shared" si="1"/>
        <v>0</v>
      </c>
      <c r="CX38" s="341">
        <f t="shared" si="1"/>
        <v>0</v>
      </c>
      <c r="CY38" s="341">
        <f t="shared" si="1"/>
        <v>0</v>
      </c>
      <c r="CZ38" s="341">
        <f t="shared" si="1"/>
        <v>0</v>
      </c>
      <c r="DA38" s="341">
        <f t="shared" si="1"/>
        <v>0</v>
      </c>
      <c r="DB38" s="341">
        <f t="shared" si="1"/>
        <v>0</v>
      </c>
      <c r="DC38" s="341">
        <f t="shared" si="1"/>
        <v>0</v>
      </c>
      <c r="DD38" s="341">
        <f t="shared" si="1"/>
        <v>0</v>
      </c>
      <c r="DE38" s="341">
        <f t="shared" si="1"/>
        <v>0</v>
      </c>
      <c r="DF38" s="341">
        <f t="shared" si="1"/>
        <v>0</v>
      </c>
      <c r="DG38" s="341">
        <f t="shared" si="1"/>
        <v>0</v>
      </c>
      <c r="DH38" s="341">
        <f t="shared" si="1"/>
        <v>0</v>
      </c>
      <c r="DI38" s="341">
        <f t="shared" si="1"/>
        <v>0</v>
      </c>
      <c r="DJ38" s="341">
        <f t="shared" si="1"/>
        <v>0</v>
      </c>
      <c r="DK38" s="341">
        <f t="shared" si="1"/>
        <v>0</v>
      </c>
      <c r="DL38" s="341">
        <f t="shared" si="1"/>
        <v>0</v>
      </c>
      <c r="DM38" s="341">
        <f t="shared" si="1"/>
        <v>0</v>
      </c>
      <c r="DN38" s="341">
        <f t="shared" si="1"/>
        <v>0</v>
      </c>
      <c r="DO38" s="341">
        <f t="shared" si="1"/>
        <v>0</v>
      </c>
      <c r="DP38" s="341">
        <f t="shared" si="1"/>
        <v>0</v>
      </c>
      <c r="DQ38" s="341">
        <f t="shared" si="1"/>
        <v>0</v>
      </c>
      <c r="DR38" s="341">
        <f t="shared" si="1"/>
        <v>0</v>
      </c>
      <c r="DS38" s="341">
        <f t="shared" si="1"/>
        <v>0</v>
      </c>
      <c r="DT38" s="341">
        <f t="shared" si="1"/>
        <v>0</v>
      </c>
    </row>
    <row r="39" spans="1:56" s="75" customFormat="1" ht="19.5" thickBot="1">
      <c r="A39" s="438" t="s">
        <v>79</v>
      </c>
      <c r="B39" s="451"/>
      <c r="C39" s="452"/>
      <c r="D39" s="463">
        <v>0.1</v>
      </c>
      <c r="E39" s="434" t="s">
        <v>80</v>
      </c>
      <c r="F39" s="493" t="s">
        <v>109</v>
      </c>
      <c r="G39" s="440"/>
      <c r="H39" s="440"/>
      <c r="I39" s="440"/>
      <c r="J39" s="440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4"/>
      <c r="BA39" s="454"/>
      <c r="BB39" s="454"/>
      <c r="BC39" s="454"/>
      <c r="BD39" s="454"/>
    </row>
    <row r="40" spans="1:56" s="75" customFormat="1" ht="19.5" thickBot="1">
      <c r="A40" s="438"/>
      <c r="B40" s="451"/>
      <c r="C40" s="452"/>
      <c r="D40" s="478"/>
      <c r="E40" s="434"/>
      <c r="F40" s="494" t="s">
        <v>109</v>
      </c>
      <c r="G40" s="440"/>
      <c r="H40" s="440"/>
      <c r="I40" s="440"/>
      <c r="J40" s="440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</row>
    <row r="41" spans="1:56" s="38" customFormat="1" ht="19.5" thickBot="1">
      <c r="A41" s="1083" t="s">
        <v>112</v>
      </c>
      <c r="B41" s="1085"/>
      <c r="C41" s="1084"/>
      <c r="D41" s="463">
        <v>0.1</v>
      </c>
      <c r="E41" s="496"/>
      <c r="F41" s="497" t="s">
        <v>109</v>
      </c>
      <c r="G41" s="490"/>
      <c r="H41" s="490"/>
      <c r="I41" s="490"/>
      <c r="J41" s="490"/>
      <c r="K41" s="498"/>
      <c r="L41" s="498"/>
      <c r="M41" s="498"/>
      <c r="N41" s="498"/>
      <c r="O41" s="498"/>
      <c r="P41" s="498"/>
      <c r="Q41" s="498"/>
      <c r="R41" s="498"/>
      <c r="S41" s="498"/>
      <c r="T41" s="498"/>
      <c r="U41" s="498"/>
      <c r="V41" s="498"/>
      <c r="W41" s="498"/>
      <c r="X41" s="498"/>
      <c r="Y41" s="498"/>
      <c r="Z41" s="498"/>
      <c r="AA41" s="498"/>
      <c r="AB41" s="498"/>
      <c r="AC41" s="498"/>
      <c r="AD41" s="498"/>
      <c r="AE41" s="498"/>
      <c r="AF41" s="498">
        <f>SUM(K42:AF42)</f>
        <v>0.9999999999999997</v>
      </c>
      <c r="AG41" s="441"/>
      <c r="AH41" s="441"/>
      <c r="AI41" s="441"/>
      <c r="AJ41" s="441"/>
      <c r="AK41" s="441"/>
      <c r="AL41" s="441"/>
      <c r="AM41" s="441"/>
      <c r="AN41" s="441"/>
      <c r="AO41" s="441"/>
      <c r="AP41" s="441"/>
      <c r="AQ41" s="441"/>
      <c r="AR41" s="441"/>
      <c r="AS41" s="441"/>
      <c r="AT41" s="441"/>
      <c r="AU41" s="441"/>
      <c r="AV41" s="441"/>
      <c r="AW41" s="441"/>
      <c r="AX41" s="441"/>
      <c r="AY41" s="441"/>
      <c r="AZ41" s="441"/>
      <c r="BA41" s="441"/>
      <c r="BB41" s="441"/>
      <c r="BC41" s="441"/>
      <c r="BD41" s="441"/>
    </row>
    <row r="42" spans="1:56" s="47" customFormat="1" ht="19.5" thickBot="1">
      <c r="A42" s="1083" t="s">
        <v>93</v>
      </c>
      <c r="B42" s="1080"/>
      <c r="C42" s="564"/>
      <c r="D42" s="500">
        <f>J42</f>
        <v>0.9999999999999997</v>
      </c>
      <c r="E42" s="437"/>
      <c r="F42" s="421"/>
      <c r="G42" s="421"/>
      <c r="H42" s="421"/>
      <c r="I42" s="420" t="str">
        <f>IF(J42=100%,"OK","ERROR")</f>
        <v>OK</v>
      </c>
      <c r="J42" s="479">
        <f>SUM(K42:AF42)</f>
        <v>0.9999999999999997</v>
      </c>
      <c r="K42" s="458">
        <f>1/22</f>
        <v>0.045454545454545456</v>
      </c>
      <c r="L42" s="445">
        <f aca="true" t="shared" si="2" ref="L42:AF42">1/22</f>
        <v>0.045454545454545456</v>
      </c>
      <c r="M42" s="445">
        <f t="shared" si="2"/>
        <v>0.045454545454545456</v>
      </c>
      <c r="N42" s="445">
        <f t="shared" si="2"/>
        <v>0.045454545454545456</v>
      </c>
      <c r="O42" s="445">
        <f t="shared" si="2"/>
        <v>0.045454545454545456</v>
      </c>
      <c r="P42" s="445">
        <f t="shared" si="2"/>
        <v>0.045454545454545456</v>
      </c>
      <c r="Q42" s="445">
        <f t="shared" si="2"/>
        <v>0.045454545454545456</v>
      </c>
      <c r="R42" s="445">
        <f t="shared" si="2"/>
        <v>0.045454545454545456</v>
      </c>
      <c r="S42" s="445">
        <f t="shared" si="2"/>
        <v>0.045454545454545456</v>
      </c>
      <c r="T42" s="445">
        <f t="shared" si="2"/>
        <v>0.045454545454545456</v>
      </c>
      <c r="U42" s="445">
        <f t="shared" si="2"/>
        <v>0.045454545454545456</v>
      </c>
      <c r="V42" s="445">
        <f t="shared" si="2"/>
        <v>0.045454545454545456</v>
      </c>
      <c r="W42" s="445">
        <f t="shared" si="2"/>
        <v>0.045454545454545456</v>
      </c>
      <c r="X42" s="445">
        <f t="shared" si="2"/>
        <v>0.045454545454545456</v>
      </c>
      <c r="Y42" s="445">
        <f t="shared" si="2"/>
        <v>0.045454545454545456</v>
      </c>
      <c r="Z42" s="445">
        <f t="shared" si="2"/>
        <v>0.045454545454545456</v>
      </c>
      <c r="AA42" s="445">
        <f t="shared" si="2"/>
        <v>0.045454545454545456</v>
      </c>
      <c r="AB42" s="445">
        <f t="shared" si="2"/>
        <v>0.045454545454545456</v>
      </c>
      <c r="AC42" s="445">
        <f t="shared" si="2"/>
        <v>0.045454545454545456</v>
      </c>
      <c r="AD42" s="445">
        <f t="shared" si="2"/>
        <v>0.045454545454545456</v>
      </c>
      <c r="AE42" s="445">
        <f t="shared" si="2"/>
        <v>0.045454545454545456</v>
      </c>
      <c r="AF42" s="446">
        <f t="shared" si="2"/>
        <v>0.045454545454545456</v>
      </c>
      <c r="AG42" s="420"/>
      <c r="AH42" s="420"/>
      <c r="AI42" s="420"/>
      <c r="AJ42" s="420"/>
      <c r="AK42" s="420"/>
      <c r="AL42" s="420"/>
      <c r="AM42" s="420"/>
      <c r="AN42" s="420"/>
      <c r="AO42" s="420"/>
      <c r="AP42" s="420"/>
      <c r="AQ42" s="420"/>
      <c r="AR42" s="420"/>
      <c r="AS42" s="420"/>
      <c r="AT42" s="420"/>
      <c r="AU42" s="420"/>
      <c r="AV42" s="420"/>
      <c r="AW42" s="420"/>
      <c r="AX42" s="420"/>
      <c r="AY42" s="420"/>
      <c r="AZ42" s="420"/>
      <c r="BA42" s="420"/>
      <c r="BB42" s="420"/>
      <c r="BC42" s="420"/>
      <c r="BD42" s="420"/>
    </row>
    <row r="43" spans="1:56" s="327" customFormat="1" ht="19.5" thickBot="1">
      <c r="A43" s="501" t="s">
        <v>94</v>
      </c>
      <c r="B43" s="1081"/>
      <c r="C43" s="1082"/>
      <c r="D43" s="502">
        <f>J43</f>
        <v>0.5454545454545451</v>
      </c>
      <c r="E43" s="503" t="s">
        <v>54</v>
      </c>
      <c r="F43" s="504" t="s">
        <v>109</v>
      </c>
      <c r="G43" s="505"/>
      <c r="H43" s="505"/>
      <c r="I43" s="505"/>
      <c r="J43" s="506">
        <f>AVERAGE(K43:AF43)</f>
        <v>0.5454545454545451</v>
      </c>
      <c r="K43" s="507">
        <f aca="true" t="shared" si="3" ref="K43:AF43">$D$14*$D$41*K42</f>
        <v>0.5454545454545454</v>
      </c>
      <c r="L43" s="508">
        <f t="shared" si="3"/>
        <v>0.5454545454545454</v>
      </c>
      <c r="M43" s="508">
        <f t="shared" si="3"/>
        <v>0.5454545454545454</v>
      </c>
      <c r="N43" s="508">
        <f t="shared" si="3"/>
        <v>0.5454545454545454</v>
      </c>
      <c r="O43" s="508">
        <f t="shared" si="3"/>
        <v>0.5454545454545454</v>
      </c>
      <c r="P43" s="508">
        <f t="shared" si="3"/>
        <v>0.5454545454545454</v>
      </c>
      <c r="Q43" s="508">
        <f t="shared" si="3"/>
        <v>0.5454545454545454</v>
      </c>
      <c r="R43" s="508">
        <f t="shared" si="3"/>
        <v>0.5454545454545454</v>
      </c>
      <c r="S43" s="508">
        <f t="shared" si="3"/>
        <v>0.5454545454545454</v>
      </c>
      <c r="T43" s="508">
        <f t="shared" si="3"/>
        <v>0.5454545454545454</v>
      </c>
      <c r="U43" s="508">
        <f t="shared" si="3"/>
        <v>0.5454545454545454</v>
      </c>
      <c r="V43" s="508">
        <f t="shared" si="3"/>
        <v>0.5454545454545454</v>
      </c>
      <c r="W43" s="508">
        <f t="shared" si="3"/>
        <v>0.5454545454545454</v>
      </c>
      <c r="X43" s="508">
        <f t="shared" si="3"/>
        <v>0.5454545454545454</v>
      </c>
      <c r="Y43" s="508">
        <f t="shared" si="3"/>
        <v>0.5454545454545454</v>
      </c>
      <c r="Z43" s="508">
        <f t="shared" si="3"/>
        <v>0.5454545454545454</v>
      </c>
      <c r="AA43" s="508">
        <f t="shared" si="3"/>
        <v>0.5454545454545454</v>
      </c>
      <c r="AB43" s="508">
        <f t="shared" si="3"/>
        <v>0.5454545454545454</v>
      </c>
      <c r="AC43" s="508">
        <f t="shared" si="3"/>
        <v>0.5454545454545454</v>
      </c>
      <c r="AD43" s="508">
        <f t="shared" si="3"/>
        <v>0.5454545454545454</v>
      </c>
      <c r="AE43" s="508">
        <f t="shared" si="3"/>
        <v>0.5454545454545454</v>
      </c>
      <c r="AF43" s="509">
        <f t="shared" si="3"/>
        <v>0.5454545454545454</v>
      </c>
      <c r="AG43" s="510"/>
      <c r="AH43" s="510"/>
      <c r="AI43" s="510"/>
      <c r="AJ43" s="510"/>
      <c r="AK43" s="510"/>
      <c r="AL43" s="510"/>
      <c r="AM43" s="510"/>
      <c r="AN43" s="510"/>
      <c r="AO43" s="510"/>
      <c r="AP43" s="510"/>
      <c r="AQ43" s="510"/>
      <c r="AR43" s="510"/>
      <c r="AS43" s="510"/>
      <c r="AT43" s="510"/>
      <c r="AU43" s="510"/>
      <c r="AV43" s="510"/>
      <c r="AW43" s="510"/>
      <c r="AX43" s="510"/>
      <c r="AY43" s="510"/>
      <c r="AZ43" s="510"/>
      <c r="BA43" s="510"/>
      <c r="BB43" s="510"/>
      <c r="BC43" s="510"/>
      <c r="BD43" s="510"/>
    </row>
    <row r="44" spans="1:56" s="327" customFormat="1" ht="19.5" thickBot="1">
      <c r="A44" s="511"/>
      <c r="B44" s="505"/>
      <c r="C44" s="512"/>
      <c r="D44" s="513"/>
      <c r="E44" s="503"/>
      <c r="F44" s="514" t="s">
        <v>109</v>
      </c>
      <c r="G44" s="505"/>
      <c r="H44" s="505"/>
      <c r="I44" s="505"/>
      <c r="J44" s="515"/>
      <c r="K44" s="516">
        <f>D14*D41*K42</f>
        <v>0.5454545454545454</v>
      </c>
      <c r="L44" s="516"/>
      <c r="M44" s="516"/>
      <c r="N44" s="516"/>
      <c r="O44" s="516"/>
      <c r="P44" s="516"/>
      <c r="Q44" s="516"/>
      <c r="R44" s="516"/>
      <c r="S44" s="516"/>
      <c r="T44" s="516"/>
      <c r="U44" s="516"/>
      <c r="V44" s="516"/>
      <c r="W44" s="516"/>
      <c r="X44" s="516"/>
      <c r="Y44" s="516"/>
      <c r="Z44" s="516"/>
      <c r="AA44" s="516"/>
      <c r="AB44" s="516"/>
      <c r="AC44" s="516"/>
      <c r="AD44" s="516"/>
      <c r="AE44" s="516"/>
      <c r="AF44" s="516"/>
      <c r="AG44" s="510"/>
      <c r="AH44" s="510"/>
      <c r="AI44" s="510"/>
      <c r="AJ44" s="510"/>
      <c r="AK44" s="510"/>
      <c r="AL44" s="510"/>
      <c r="AM44" s="510"/>
      <c r="AN44" s="510"/>
      <c r="AO44" s="510"/>
      <c r="AP44" s="510"/>
      <c r="AQ44" s="510"/>
      <c r="AR44" s="510"/>
      <c r="AS44" s="510"/>
      <c r="AT44" s="510"/>
      <c r="AU44" s="510"/>
      <c r="AV44" s="510"/>
      <c r="AW44" s="510"/>
      <c r="AX44" s="510"/>
      <c r="AY44" s="510"/>
      <c r="AZ44" s="510"/>
      <c r="BA44" s="510"/>
      <c r="BB44" s="510"/>
      <c r="BC44" s="510"/>
      <c r="BD44" s="510"/>
    </row>
    <row r="45" spans="1:56" s="75" customFormat="1" ht="19.5" thickBot="1">
      <c r="A45" s="438" t="s">
        <v>64</v>
      </c>
      <c r="B45" s="451"/>
      <c r="C45" s="452"/>
      <c r="D45" s="463">
        <v>0.1</v>
      </c>
      <c r="E45" s="434"/>
      <c r="F45" s="494" t="s">
        <v>109</v>
      </c>
      <c r="G45" s="440"/>
      <c r="H45" s="440"/>
      <c r="I45" s="440"/>
      <c r="J45" s="440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4"/>
      <c r="AR45" s="454"/>
      <c r="AS45" s="454"/>
      <c r="AT45" s="454"/>
      <c r="AU45" s="454"/>
      <c r="AV45" s="454"/>
      <c r="AW45" s="454"/>
      <c r="AX45" s="454"/>
      <c r="AY45" s="454"/>
      <c r="AZ45" s="454"/>
      <c r="BA45" s="454"/>
      <c r="BB45" s="454"/>
      <c r="BC45" s="454"/>
      <c r="BD45" s="454"/>
    </row>
    <row r="46" spans="1:56" ht="19.5" thickBot="1">
      <c r="A46" s="455"/>
      <c r="B46" s="431"/>
      <c r="C46" s="432"/>
      <c r="D46" s="478"/>
      <c r="E46" s="437"/>
      <c r="F46" s="420"/>
      <c r="G46" s="421" t="s">
        <v>109</v>
      </c>
      <c r="H46" s="421"/>
      <c r="I46" s="421"/>
      <c r="J46" s="421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0"/>
      <c r="AN46" s="420"/>
      <c r="AO46" s="420"/>
      <c r="AP46" s="420"/>
      <c r="AQ46" s="420"/>
      <c r="AR46" s="420"/>
      <c r="AS46" s="420"/>
      <c r="AT46" s="420"/>
      <c r="AU46" s="420"/>
      <c r="AV46" s="420"/>
      <c r="AW46" s="420"/>
      <c r="AX46" s="420"/>
      <c r="AY46" s="420"/>
      <c r="AZ46" s="420"/>
      <c r="BA46" s="420"/>
      <c r="BB46" s="420"/>
      <c r="BC46" s="420"/>
      <c r="BD46" s="420"/>
    </row>
    <row r="47" spans="1:56" s="75" customFormat="1" ht="19.5" thickBot="1">
      <c r="A47" s="438" t="s">
        <v>97</v>
      </c>
      <c r="B47" s="451"/>
      <c r="C47" s="452"/>
      <c r="D47" s="517">
        <f>(((($D$35+$D$38)/1.41*1000000*1000)/($D$32*365))*(1+$D$39))+(($D$43/1.41*1000000*1000)/($D$32*365))</f>
        <v>37.67302579864514</v>
      </c>
      <c r="E47" s="434" t="s">
        <v>71</v>
      </c>
      <c r="F47" s="454"/>
      <c r="G47" s="440"/>
      <c r="H47" s="440"/>
      <c r="I47" s="440"/>
      <c r="J47" s="440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454"/>
      <c r="AS47" s="454"/>
      <c r="AT47" s="454"/>
      <c r="AU47" s="454"/>
      <c r="AV47" s="454"/>
      <c r="AW47" s="454"/>
      <c r="AX47" s="454"/>
      <c r="AY47" s="454"/>
      <c r="AZ47" s="454"/>
      <c r="BA47" s="454"/>
      <c r="BB47" s="454"/>
      <c r="BC47" s="454"/>
      <c r="BD47" s="454"/>
    </row>
    <row r="48" spans="1:56" s="5" customFormat="1" ht="19.5" thickBot="1">
      <c r="A48" s="518"/>
      <c r="B48" s="472"/>
      <c r="C48" s="473"/>
      <c r="D48" s="439"/>
      <c r="E48" s="519"/>
      <c r="F48" s="490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1"/>
      <c r="AD48" s="421"/>
      <c r="AE48" s="421"/>
      <c r="AF48" s="421"/>
      <c r="AG48" s="421"/>
      <c r="AH48" s="421"/>
      <c r="AI48" s="421"/>
      <c r="AJ48" s="421"/>
      <c r="AK48" s="421"/>
      <c r="AL48" s="421"/>
      <c r="AM48" s="421"/>
      <c r="AN48" s="421"/>
      <c r="AO48" s="421"/>
      <c r="AP48" s="421"/>
      <c r="AQ48" s="421"/>
      <c r="AR48" s="421"/>
      <c r="AS48" s="421"/>
      <c r="AT48" s="421"/>
      <c r="AU48" s="421"/>
      <c r="AV48" s="421"/>
      <c r="AW48" s="421"/>
      <c r="AX48" s="421"/>
      <c r="AY48" s="421"/>
      <c r="AZ48" s="421"/>
      <c r="BA48" s="421"/>
      <c r="BB48" s="421"/>
      <c r="BC48" s="421"/>
      <c r="BD48" s="421"/>
    </row>
    <row r="49" spans="1:56" s="5" customFormat="1" ht="19.5" thickBot="1">
      <c r="A49" s="520"/>
      <c r="B49" s="431"/>
      <c r="C49" s="432"/>
      <c r="D49" s="424"/>
      <c r="E49" s="490"/>
      <c r="F49" s="490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  <c r="AC49" s="421"/>
      <c r="AD49" s="421"/>
      <c r="AE49" s="421"/>
      <c r="AF49" s="421"/>
      <c r="AG49" s="421"/>
      <c r="AH49" s="421"/>
      <c r="AI49" s="421"/>
      <c r="AJ49" s="421"/>
      <c r="AK49" s="421"/>
      <c r="AL49" s="421"/>
      <c r="AM49" s="421"/>
      <c r="AN49" s="421"/>
      <c r="AO49" s="421"/>
      <c r="AP49" s="421"/>
      <c r="AQ49" s="421"/>
      <c r="AR49" s="421"/>
      <c r="AS49" s="421"/>
      <c r="AT49" s="421"/>
      <c r="AU49" s="421"/>
      <c r="AV49" s="421"/>
      <c r="AW49" s="421"/>
      <c r="AX49" s="421"/>
      <c r="AY49" s="421"/>
      <c r="AZ49" s="421"/>
      <c r="BA49" s="421"/>
      <c r="BB49" s="421"/>
      <c r="BC49" s="421"/>
      <c r="BD49" s="421"/>
    </row>
    <row r="50" spans="1:56" s="5" customFormat="1" ht="18.75">
      <c r="A50" s="425"/>
      <c r="B50" s="426"/>
      <c r="C50" s="427"/>
      <c r="D50" s="428"/>
      <c r="E50" s="521"/>
      <c r="F50" s="490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21"/>
      <c r="AA50" s="421"/>
      <c r="AB50" s="421"/>
      <c r="AC50" s="421"/>
      <c r="AD50" s="421"/>
      <c r="AE50" s="421"/>
      <c r="AF50" s="421"/>
      <c r="AG50" s="421"/>
      <c r="AH50" s="421"/>
      <c r="AI50" s="421"/>
      <c r="AJ50" s="421"/>
      <c r="AK50" s="421"/>
      <c r="AL50" s="421"/>
      <c r="AM50" s="421"/>
      <c r="AN50" s="421"/>
      <c r="AO50" s="421"/>
      <c r="AP50" s="421"/>
      <c r="AQ50" s="421"/>
      <c r="AR50" s="421"/>
      <c r="AS50" s="421"/>
      <c r="AT50" s="421"/>
      <c r="AU50" s="421"/>
      <c r="AV50" s="421"/>
      <c r="AW50" s="421"/>
      <c r="AX50" s="421"/>
      <c r="AY50" s="421"/>
      <c r="AZ50" s="421"/>
      <c r="BA50" s="421"/>
      <c r="BB50" s="421"/>
      <c r="BC50" s="421"/>
      <c r="BD50" s="421"/>
    </row>
    <row r="51" spans="1:56" s="305" customFormat="1" ht="24">
      <c r="A51" s="476" t="s">
        <v>87</v>
      </c>
      <c r="B51" s="431"/>
      <c r="C51" s="432"/>
      <c r="D51" s="424"/>
      <c r="E51" s="522"/>
      <c r="F51" s="490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  <c r="AG51" s="421"/>
      <c r="AH51" s="421"/>
      <c r="AI51" s="421"/>
      <c r="AJ51" s="421"/>
      <c r="AK51" s="421"/>
      <c r="AL51" s="421"/>
      <c r="AM51" s="421"/>
      <c r="AN51" s="421"/>
      <c r="AO51" s="421"/>
      <c r="AP51" s="421"/>
      <c r="AQ51" s="421"/>
      <c r="AR51" s="421"/>
      <c r="AS51" s="421"/>
      <c r="AT51" s="421"/>
      <c r="AU51" s="421"/>
      <c r="AV51" s="421"/>
      <c r="AW51" s="421"/>
      <c r="AX51" s="421"/>
      <c r="AY51" s="421"/>
      <c r="AZ51" s="421"/>
      <c r="BA51" s="421"/>
      <c r="BB51" s="421"/>
      <c r="BC51" s="421"/>
      <c r="BD51" s="421"/>
    </row>
    <row r="52" spans="1:56" s="290" customFormat="1" ht="20.25" thickBot="1">
      <c r="A52" s="430"/>
      <c r="B52" s="431"/>
      <c r="C52" s="432"/>
      <c r="D52" s="424"/>
      <c r="E52" s="522"/>
      <c r="F52" s="490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21"/>
      <c r="AH52" s="421"/>
      <c r="AI52" s="421"/>
      <c r="AJ52" s="421"/>
      <c r="AK52" s="421"/>
      <c r="AL52" s="421"/>
      <c r="AM52" s="421"/>
      <c r="AN52" s="421"/>
      <c r="AO52" s="421"/>
      <c r="AP52" s="421"/>
      <c r="AQ52" s="421"/>
      <c r="AR52" s="421"/>
      <c r="AS52" s="421"/>
      <c r="AT52" s="421"/>
      <c r="AU52" s="421"/>
      <c r="AV52" s="421"/>
      <c r="AW52" s="421"/>
      <c r="AX52" s="421"/>
      <c r="AY52" s="421"/>
      <c r="AZ52" s="421"/>
      <c r="BA52" s="421"/>
      <c r="BB52" s="421"/>
      <c r="BC52" s="421"/>
      <c r="BD52" s="421"/>
    </row>
    <row r="53" spans="1:56" s="289" customFormat="1" ht="20.25" thickBot="1">
      <c r="A53" s="438" t="s">
        <v>76</v>
      </c>
      <c r="B53" s="431"/>
      <c r="C53" s="432"/>
      <c r="D53" s="523">
        <f>D14+D23</f>
        <v>130.25</v>
      </c>
      <c r="E53" s="434" t="s">
        <v>29</v>
      </c>
      <c r="F53" s="420"/>
      <c r="G53" s="421"/>
      <c r="H53" s="421"/>
      <c r="I53" s="421"/>
      <c r="J53" s="421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  <c r="AW53" s="420"/>
      <c r="AX53" s="420"/>
      <c r="AY53" s="420"/>
      <c r="AZ53" s="420"/>
      <c r="BA53" s="420"/>
      <c r="BB53" s="420"/>
      <c r="BC53" s="420"/>
      <c r="BD53" s="420"/>
    </row>
    <row r="54" spans="1:56" s="289" customFormat="1" ht="20.25" thickBot="1">
      <c r="A54" s="438" t="s">
        <v>45</v>
      </c>
      <c r="B54" s="451"/>
      <c r="C54" s="452"/>
      <c r="D54" s="524">
        <f>D18/(D24+D18)</f>
        <v>0.15355086372360843</v>
      </c>
      <c r="E54" s="437"/>
      <c r="F54" s="420"/>
      <c r="G54" s="421"/>
      <c r="H54" s="421"/>
      <c r="I54" s="421"/>
      <c r="J54" s="421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0"/>
      <c r="AD54" s="420"/>
      <c r="AE54" s="420"/>
      <c r="AF54" s="420"/>
      <c r="AG54" s="420"/>
      <c r="AH54" s="420"/>
      <c r="AI54" s="420"/>
      <c r="AJ54" s="420"/>
      <c r="AK54" s="420"/>
      <c r="AL54" s="420"/>
      <c r="AM54" s="420"/>
      <c r="AN54" s="420"/>
      <c r="AO54" s="420"/>
      <c r="AP54" s="420"/>
      <c r="AQ54" s="420"/>
      <c r="AR54" s="420"/>
      <c r="AS54" s="420"/>
      <c r="AT54" s="420"/>
      <c r="AU54" s="420"/>
      <c r="AV54" s="420"/>
      <c r="AW54" s="420"/>
      <c r="AX54" s="420"/>
      <c r="AY54" s="420"/>
      <c r="AZ54" s="420"/>
      <c r="BA54" s="420"/>
      <c r="BB54" s="420"/>
      <c r="BC54" s="420"/>
      <c r="BD54" s="420"/>
    </row>
    <row r="55" spans="1:56" s="298" customFormat="1" ht="21" thickBot="1">
      <c r="A55" s="438" t="s">
        <v>78</v>
      </c>
      <c r="B55" s="451"/>
      <c r="C55" s="452"/>
      <c r="D55" s="525">
        <f>D134</f>
        <v>1.1310707941908371</v>
      </c>
      <c r="E55" s="434"/>
      <c r="F55" s="454"/>
      <c r="G55" s="440"/>
      <c r="H55" s="440"/>
      <c r="I55" s="440"/>
      <c r="J55" s="440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4"/>
      <c r="AR55" s="454"/>
      <c r="AS55" s="454"/>
      <c r="AT55" s="454"/>
      <c r="AU55" s="454"/>
      <c r="AV55" s="454"/>
      <c r="AW55" s="454"/>
      <c r="AX55" s="454"/>
      <c r="AY55" s="454"/>
      <c r="AZ55" s="454"/>
      <c r="BA55" s="454"/>
      <c r="BB55" s="454"/>
      <c r="BC55" s="454"/>
      <c r="BD55" s="454"/>
    </row>
    <row r="56" spans="1:56" s="298" customFormat="1" ht="21" thickBot="1">
      <c r="A56" s="438"/>
      <c r="B56" s="451"/>
      <c r="C56" s="452"/>
      <c r="D56" s="526"/>
      <c r="E56" s="434"/>
      <c r="F56" s="454"/>
      <c r="G56" s="440"/>
      <c r="H56" s="440"/>
      <c r="I56" s="440"/>
      <c r="J56" s="440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4"/>
      <c r="AR56" s="454"/>
      <c r="AS56" s="454"/>
      <c r="AT56" s="454"/>
      <c r="AU56" s="454"/>
      <c r="AV56" s="454"/>
      <c r="AW56" s="454"/>
      <c r="AX56" s="454"/>
      <c r="AY56" s="454"/>
      <c r="AZ56" s="454"/>
      <c r="BA56" s="454"/>
      <c r="BB56" s="454"/>
      <c r="BC56" s="454"/>
      <c r="BD56" s="454"/>
    </row>
    <row r="57" spans="1:56" s="295" customFormat="1" ht="21" thickBot="1">
      <c r="A57" s="438" t="s">
        <v>67</v>
      </c>
      <c r="B57" s="451"/>
      <c r="C57" s="452"/>
      <c r="D57" s="527">
        <f>D132</f>
        <v>0.1384778036749852</v>
      </c>
      <c r="E57" s="528"/>
      <c r="F57" s="483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  <c r="U57" s="440"/>
      <c r="V57" s="440"/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440"/>
      <c r="AK57" s="440"/>
      <c r="AL57" s="440"/>
      <c r="AM57" s="440"/>
      <c r="AN57" s="440"/>
      <c r="AO57" s="440"/>
      <c r="AP57" s="440"/>
      <c r="AQ57" s="440"/>
      <c r="AR57" s="440"/>
      <c r="AS57" s="440"/>
      <c r="AT57" s="440"/>
      <c r="AU57" s="440"/>
      <c r="AV57" s="440"/>
      <c r="AW57" s="440"/>
      <c r="AX57" s="440"/>
      <c r="AY57" s="440"/>
      <c r="AZ57" s="440"/>
      <c r="BA57" s="440"/>
      <c r="BB57" s="440"/>
      <c r="BC57" s="440"/>
      <c r="BD57" s="440"/>
    </row>
    <row r="58" spans="1:56" s="295" customFormat="1" ht="21" thickBot="1">
      <c r="A58" s="438" t="s">
        <v>77</v>
      </c>
      <c r="B58" s="451"/>
      <c r="C58" s="452"/>
      <c r="D58" s="517">
        <f>D135</f>
        <v>13</v>
      </c>
      <c r="E58" s="529" t="s">
        <v>41</v>
      </c>
      <c r="F58" s="483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440"/>
      <c r="R58" s="440"/>
      <c r="S58" s="440"/>
      <c r="T58" s="440"/>
      <c r="U58" s="440"/>
      <c r="V58" s="440"/>
      <c r="W58" s="440"/>
      <c r="X58" s="440"/>
      <c r="Y58" s="440"/>
      <c r="Z58" s="440"/>
      <c r="AA58" s="440"/>
      <c r="AB58" s="440"/>
      <c r="AC58" s="440"/>
      <c r="AD58" s="440"/>
      <c r="AE58" s="440"/>
      <c r="AF58" s="440"/>
      <c r="AG58" s="440"/>
      <c r="AH58" s="440"/>
      <c r="AI58" s="440"/>
      <c r="AJ58" s="440"/>
      <c r="AK58" s="440"/>
      <c r="AL58" s="440"/>
      <c r="AM58" s="440"/>
      <c r="AN58" s="440"/>
      <c r="AO58" s="440"/>
      <c r="AP58" s="440"/>
      <c r="AQ58" s="440"/>
      <c r="AR58" s="440"/>
      <c r="AS58" s="440"/>
      <c r="AT58" s="440"/>
      <c r="AU58" s="440"/>
      <c r="AV58" s="440"/>
      <c r="AW58" s="440"/>
      <c r="AX58" s="440"/>
      <c r="AY58" s="440"/>
      <c r="AZ58" s="440"/>
      <c r="BA58" s="440"/>
      <c r="BB58" s="440"/>
      <c r="BC58" s="440"/>
      <c r="BD58" s="440"/>
    </row>
    <row r="59" spans="1:56" s="295" customFormat="1" ht="21" thickBot="1">
      <c r="A59" s="438"/>
      <c r="B59" s="451"/>
      <c r="C59" s="452"/>
      <c r="D59" s="530"/>
      <c r="E59" s="529"/>
      <c r="F59" s="483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</row>
    <row r="60" spans="1:56" s="298" customFormat="1" ht="21" thickBot="1">
      <c r="A60" s="438" t="s">
        <v>108</v>
      </c>
      <c r="B60" s="451"/>
      <c r="C60" s="452"/>
      <c r="D60" s="531">
        <f>($D$66*1000000)/1.4109*1000/($D$32*365*$D$28)</f>
        <v>241.4652026548752</v>
      </c>
      <c r="E60" s="434" t="s">
        <v>105</v>
      </c>
      <c r="F60" s="420">
        <f>SUM(D61:D63)</f>
        <v>241.46520265487527</v>
      </c>
      <c r="G60" s="420" t="str">
        <f>IF(D60=F60,"OK","ERROR")</f>
        <v>OK</v>
      </c>
      <c r="H60" s="440"/>
      <c r="I60" s="440"/>
      <c r="J60" s="440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454"/>
      <c r="AT60" s="454"/>
      <c r="AU60" s="454"/>
      <c r="AV60" s="454"/>
      <c r="AW60" s="454"/>
      <c r="AX60" s="454"/>
      <c r="AY60" s="454"/>
      <c r="AZ60" s="454"/>
      <c r="BA60" s="454"/>
      <c r="BB60" s="454"/>
      <c r="BC60" s="454"/>
      <c r="BD60" s="454"/>
    </row>
    <row r="61" spans="1:56" s="9" customFormat="1" ht="19.5" thickBot="1">
      <c r="A61" s="532" t="s">
        <v>102</v>
      </c>
      <c r="B61" s="451"/>
      <c r="C61" s="452"/>
      <c r="D61" s="533">
        <f>($D$68*1000000)/1.4109*1000/($D$32*365*$D$28)</f>
        <v>75.90343356787974</v>
      </c>
      <c r="E61" s="534" t="s">
        <v>105</v>
      </c>
      <c r="F61" s="454"/>
      <c r="G61" s="440"/>
      <c r="H61" s="440"/>
      <c r="I61" s="440"/>
      <c r="J61" s="440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4"/>
      <c r="AR61" s="454"/>
      <c r="AS61" s="454"/>
      <c r="AT61" s="454"/>
      <c r="AU61" s="454"/>
      <c r="AV61" s="454"/>
      <c r="AW61" s="454"/>
      <c r="AX61" s="454"/>
      <c r="AY61" s="454"/>
      <c r="AZ61" s="454"/>
      <c r="BA61" s="454"/>
      <c r="BB61" s="454"/>
      <c r="BC61" s="454"/>
      <c r="BD61" s="454"/>
    </row>
    <row r="62" spans="1:56" s="9" customFormat="1" ht="19.5" thickBot="1">
      <c r="A62" s="532" t="s">
        <v>103</v>
      </c>
      <c r="B62" s="451"/>
      <c r="C62" s="452"/>
      <c r="D62" s="533">
        <f>($D$67*1000000)/1.4109*1000/($D$32*365*$D$28)</f>
        <v>56.75876848168508</v>
      </c>
      <c r="E62" s="534" t="s">
        <v>105</v>
      </c>
      <c r="F62" s="454"/>
      <c r="G62" s="440"/>
      <c r="H62" s="440"/>
      <c r="I62" s="440"/>
      <c r="J62" s="440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454"/>
      <c r="AY62" s="454"/>
      <c r="AZ62" s="454"/>
      <c r="BA62" s="454"/>
      <c r="BB62" s="454"/>
      <c r="BC62" s="454"/>
      <c r="BD62" s="454"/>
    </row>
    <row r="63" spans="1:56" s="351" customFormat="1" ht="19.5" thickBot="1">
      <c r="A63" s="532" t="s">
        <v>104</v>
      </c>
      <c r="B63" s="520"/>
      <c r="C63" s="535"/>
      <c r="D63" s="533">
        <f>($D$69*1000000)/1.4109*1000/($D$32*365*$D$28)</f>
        <v>108.80300060531043</v>
      </c>
      <c r="E63" s="534" t="s">
        <v>105</v>
      </c>
      <c r="F63" s="536"/>
      <c r="G63" s="535"/>
      <c r="H63" s="535"/>
      <c r="I63" s="535"/>
      <c r="J63" s="535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6"/>
      <c r="AL63" s="536"/>
      <c r="AM63" s="536"/>
      <c r="AN63" s="536"/>
      <c r="AO63" s="536"/>
      <c r="AP63" s="536"/>
      <c r="AQ63" s="536"/>
      <c r="AR63" s="536"/>
      <c r="AS63" s="536"/>
      <c r="AT63" s="536"/>
      <c r="AU63" s="536"/>
      <c r="AV63" s="536"/>
      <c r="AW63" s="536"/>
      <c r="AX63" s="536"/>
      <c r="AY63" s="536"/>
      <c r="AZ63" s="536"/>
      <c r="BA63" s="536"/>
      <c r="BB63" s="536"/>
      <c r="BC63" s="536"/>
      <c r="BD63" s="536"/>
    </row>
    <row r="64" spans="1:56" s="295" customFormat="1" ht="20.25">
      <c r="A64" s="438"/>
      <c r="B64" s="451"/>
      <c r="C64" s="452"/>
      <c r="D64" s="537"/>
      <c r="E64" s="529"/>
      <c r="F64" s="483"/>
      <c r="G64" s="440"/>
      <c r="H64" s="440"/>
      <c r="I64" s="440"/>
      <c r="J64" s="440"/>
      <c r="K64" s="440"/>
      <c r="L64" s="440"/>
      <c r="M64" s="440"/>
      <c r="N64" s="440"/>
      <c r="O64" s="440"/>
      <c r="P64" s="440"/>
      <c r="Q64" s="440"/>
      <c r="R64" s="440"/>
      <c r="S64" s="440"/>
      <c r="T64" s="440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  <c r="AJ64" s="440"/>
      <c r="AK64" s="440"/>
      <c r="AL64" s="440"/>
      <c r="AM64" s="440"/>
      <c r="AN64" s="440"/>
      <c r="AO64" s="440"/>
      <c r="AP64" s="440"/>
      <c r="AQ64" s="440"/>
      <c r="AR64" s="440"/>
      <c r="AS64" s="440"/>
      <c r="AT64" s="440"/>
      <c r="AU64" s="440"/>
      <c r="AV64" s="440"/>
      <c r="AW64" s="440"/>
      <c r="AX64" s="440"/>
      <c r="AY64" s="440"/>
      <c r="AZ64" s="440"/>
      <c r="BA64" s="440"/>
      <c r="BB64" s="440"/>
      <c r="BC64" s="440"/>
      <c r="BD64" s="440"/>
    </row>
    <row r="65" spans="1:56" s="358" customFormat="1" ht="19.5" thickBot="1">
      <c r="A65" s="438" t="s">
        <v>101</v>
      </c>
      <c r="B65" s="451"/>
      <c r="C65" s="452"/>
      <c r="D65" s="538"/>
      <c r="E65" s="529"/>
      <c r="F65" s="483"/>
      <c r="G65" s="440"/>
      <c r="H65" s="440"/>
      <c r="I65" s="440"/>
      <c r="J65" s="440"/>
      <c r="K65" s="440"/>
      <c r="L65" s="440"/>
      <c r="M65" s="440"/>
      <c r="N65" s="440"/>
      <c r="O65" s="440"/>
      <c r="P65" s="440"/>
      <c r="Q65" s="440"/>
      <c r="R65" s="440"/>
      <c r="S65" s="440"/>
      <c r="T65" s="440"/>
      <c r="U65" s="440"/>
      <c r="V65" s="440"/>
      <c r="W65" s="440"/>
      <c r="X65" s="440"/>
      <c r="Y65" s="440"/>
      <c r="Z65" s="440"/>
      <c r="AA65" s="440"/>
      <c r="AB65" s="440"/>
      <c r="AC65" s="440"/>
      <c r="AD65" s="440"/>
      <c r="AE65" s="440"/>
      <c r="AF65" s="440"/>
      <c r="AG65" s="440"/>
      <c r="AH65" s="440"/>
      <c r="AI65" s="440"/>
      <c r="AJ65" s="440"/>
      <c r="AK65" s="440"/>
      <c r="AL65" s="440"/>
      <c r="AM65" s="440"/>
      <c r="AN65" s="440"/>
      <c r="AO65" s="440"/>
      <c r="AP65" s="440"/>
      <c r="AQ65" s="440"/>
      <c r="AR65" s="440"/>
      <c r="AS65" s="440"/>
      <c r="AT65" s="440"/>
      <c r="AU65" s="440"/>
      <c r="AV65" s="440"/>
      <c r="AW65" s="440"/>
      <c r="AX65" s="440"/>
      <c r="AY65" s="440"/>
      <c r="AZ65" s="440"/>
      <c r="BA65" s="440"/>
      <c r="BB65" s="440"/>
      <c r="BC65" s="440"/>
      <c r="BD65" s="440"/>
    </row>
    <row r="66" spans="1:56" s="358" customFormat="1" ht="19.5" thickBot="1">
      <c r="A66" s="532" t="s">
        <v>72</v>
      </c>
      <c r="B66" s="539"/>
      <c r="C66" s="452"/>
      <c r="D66" s="517">
        <f>SUM(K101:AF101)</f>
        <v>547.1373066077762</v>
      </c>
      <c r="E66" s="529" t="s">
        <v>29</v>
      </c>
      <c r="F66" s="420">
        <f>SUM(D67:D69)</f>
        <v>547.1373066077762</v>
      </c>
      <c r="G66" s="420" t="str">
        <f>IF(D66=F66,"OK","ERROR")</f>
        <v>OK</v>
      </c>
      <c r="H66" s="440"/>
      <c r="I66" s="440"/>
      <c r="J66" s="440"/>
      <c r="K66" s="440"/>
      <c r="L66" s="440"/>
      <c r="M66" s="440"/>
      <c r="N66" s="440"/>
      <c r="O66" s="440"/>
      <c r="P66" s="440"/>
      <c r="Q66" s="440"/>
      <c r="R66" s="440"/>
      <c r="S66" s="440"/>
      <c r="T66" s="440"/>
      <c r="U66" s="440"/>
      <c r="V66" s="440"/>
      <c r="W66" s="440"/>
      <c r="X66" s="440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440"/>
      <c r="AJ66" s="440"/>
      <c r="AK66" s="440"/>
      <c r="AL66" s="440"/>
      <c r="AM66" s="440"/>
      <c r="AN66" s="440"/>
      <c r="AO66" s="440"/>
      <c r="AP66" s="440"/>
      <c r="AQ66" s="440"/>
      <c r="AR66" s="440"/>
      <c r="AS66" s="440"/>
      <c r="AT66" s="440"/>
      <c r="AU66" s="440"/>
      <c r="AV66" s="440"/>
      <c r="AW66" s="440"/>
      <c r="AX66" s="440"/>
      <c r="AY66" s="440"/>
      <c r="AZ66" s="440"/>
      <c r="BA66" s="440"/>
      <c r="BB66" s="440"/>
      <c r="BC66" s="440"/>
      <c r="BD66" s="440"/>
    </row>
    <row r="67" spans="1:56" s="358" customFormat="1" ht="19.5" thickBot="1">
      <c r="A67" s="532" t="s">
        <v>73</v>
      </c>
      <c r="B67" s="539"/>
      <c r="C67" s="452"/>
      <c r="D67" s="517">
        <f>SUM(K130:AF130)</f>
        <v>128.61</v>
      </c>
      <c r="E67" s="529" t="s">
        <v>29</v>
      </c>
      <c r="F67" s="483"/>
      <c r="G67" s="440"/>
      <c r="H67" s="540"/>
      <c r="I67" s="440"/>
      <c r="J67" s="541"/>
      <c r="K67" s="440"/>
      <c r="L67" s="440"/>
      <c r="M67" s="440"/>
      <c r="N67" s="440"/>
      <c r="O67" s="440"/>
      <c r="P67" s="440"/>
      <c r="Q67" s="440"/>
      <c r="R67" s="440"/>
      <c r="S67" s="440"/>
      <c r="T67" s="440"/>
      <c r="U67" s="440"/>
      <c r="V67" s="440"/>
      <c r="W67" s="440"/>
      <c r="X67" s="440"/>
      <c r="Y67" s="440"/>
      <c r="Z67" s="440"/>
      <c r="AA67" s="440"/>
      <c r="AB67" s="440"/>
      <c r="AC67" s="440"/>
      <c r="AD67" s="440"/>
      <c r="AE67" s="440"/>
      <c r="AF67" s="440"/>
      <c r="AG67" s="440"/>
      <c r="AH67" s="440"/>
      <c r="AI67" s="440"/>
      <c r="AJ67" s="440"/>
      <c r="AK67" s="440"/>
      <c r="AL67" s="440"/>
      <c r="AM67" s="440"/>
      <c r="AN67" s="440"/>
      <c r="AO67" s="440"/>
      <c r="AP67" s="440"/>
      <c r="AQ67" s="440"/>
      <c r="AR67" s="440"/>
      <c r="AS67" s="440"/>
      <c r="AT67" s="440"/>
      <c r="AU67" s="440"/>
      <c r="AV67" s="440"/>
      <c r="AW67" s="440"/>
      <c r="AX67" s="440"/>
      <c r="AY67" s="440"/>
      <c r="AZ67" s="440"/>
      <c r="BA67" s="440"/>
      <c r="BB67" s="440"/>
      <c r="BC67" s="440"/>
      <c r="BD67" s="440"/>
    </row>
    <row r="68" spans="1:56" s="358" customFormat="1" ht="19.5" thickBot="1">
      <c r="A68" s="532" t="s">
        <v>74</v>
      </c>
      <c r="B68" s="539"/>
      <c r="C68" s="452"/>
      <c r="D68" s="517">
        <f>-SUM(K111:AF111)-SUM(K110:AF110)</f>
        <v>171.98999999999998</v>
      </c>
      <c r="E68" s="529" t="s">
        <v>29</v>
      </c>
      <c r="F68" s="483"/>
      <c r="G68" s="440"/>
      <c r="H68" s="542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 s="440"/>
      <c r="U68" s="440"/>
      <c r="V68" s="440"/>
      <c r="W68" s="440"/>
      <c r="X68" s="440"/>
      <c r="Y68" s="440"/>
      <c r="Z68" s="440"/>
      <c r="AA68" s="440"/>
      <c r="AB68" s="440"/>
      <c r="AC68" s="440"/>
      <c r="AD68" s="440"/>
      <c r="AE68" s="440"/>
      <c r="AF68" s="440"/>
      <c r="AG68" s="440"/>
      <c r="AH68" s="440"/>
      <c r="AI68" s="440"/>
      <c r="AJ68" s="440"/>
      <c r="AK68" s="440"/>
      <c r="AL68" s="440"/>
      <c r="AM68" s="440"/>
      <c r="AN68" s="440"/>
      <c r="AO68" s="440"/>
      <c r="AP68" s="440"/>
      <c r="AQ68" s="440"/>
      <c r="AR68" s="440"/>
      <c r="AS68" s="440"/>
      <c r="AT68" s="440"/>
      <c r="AU68" s="440"/>
      <c r="AV68" s="440"/>
      <c r="AW68" s="440"/>
      <c r="AX68" s="440"/>
      <c r="AY68" s="440"/>
      <c r="AZ68" s="440"/>
      <c r="BA68" s="440"/>
      <c r="BB68" s="440"/>
      <c r="BC68" s="440"/>
      <c r="BD68" s="440"/>
    </row>
    <row r="69" spans="1:56" s="358" customFormat="1" ht="19.5" thickBot="1">
      <c r="A69" s="532" t="s">
        <v>95</v>
      </c>
      <c r="B69" s="539"/>
      <c r="C69" s="452"/>
      <c r="D69" s="517">
        <f>-SUM(K112:AF112)-SUM(K113:AF113)-SUM(K114:AF114)-SUM(K119:AF119)</f>
        <v>246.53730660777617</v>
      </c>
      <c r="E69" s="529" t="s">
        <v>29</v>
      </c>
      <c r="F69" s="483"/>
      <c r="G69" s="440"/>
      <c r="H69" s="505"/>
      <c r="I69" s="440"/>
      <c r="J69" s="440"/>
      <c r="K69" s="440"/>
      <c r="L69" s="440"/>
      <c r="M69" s="440"/>
      <c r="N69" s="440"/>
      <c r="O69" s="440"/>
      <c r="P69" s="440"/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40"/>
      <c r="AF69" s="440"/>
      <c r="AG69" s="440"/>
      <c r="AH69" s="440"/>
      <c r="AI69" s="440"/>
      <c r="AJ69" s="440"/>
      <c r="AK69" s="440"/>
      <c r="AL69" s="440"/>
      <c r="AM69" s="440"/>
      <c r="AN69" s="440"/>
      <c r="AO69" s="440"/>
      <c r="AP69" s="440"/>
      <c r="AQ69" s="440"/>
      <c r="AR69" s="440"/>
      <c r="AS69" s="440"/>
      <c r="AT69" s="440"/>
      <c r="AU69" s="440"/>
      <c r="AV69" s="440"/>
      <c r="AW69" s="440"/>
      <c r="AX69" s="440"/>
      <c r="AY69" s="440"/>
      <c r="AZ69" s="440"/>
      <c r="BA69" s="440"/>
      <c r="BB69" s="440"/>
      <c r="BC69" s="440"/>
      <c r="BD69" s="440"/>
    </row>
    <row r="70" spans="1:56" s="358" customFormat="1" ht="19.5" thickBot="1">
      <c r="A70" s="438"/>
      <c r="B70" s="451"/>
      <c r="C70" s="452"/>
      <c r="D70" s="543"/>
      <c r="E70" s="529"/>
      <c r="F70" s="483"/>
      <c r="G70" s="440"/>
      <c r="H70" s="440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0"/>
      <c r="AK70" s="440"/>
      <c r="AL70" s="440"/>
      <c r="AM70" s="440"/>
      <c r="AN70" s="440"/>
      <c r="AO70" s="440"/>
      <c r="AP70" s="440"/>
      <c r="AQ70" s="440"/>
      <c r="AR70" s="440"/>
      <c r="AS70" s="440"/>
      <c r="AT70" s="440"/>
      <c r="AU70" s="440"/>
      <c r="AV70" s="440"/>
      <c r="AW70" s="440"/>
      <c r="AX70" s="440"/>
      <c r="AY70" s="440"/>
      <c r="AZ70" s="440"/>
      <c r="BA70" s="440"/>
      <c r="BB70" s="440"/>
      <c r="BC70" s="440"/>
      <c r="BD70" s="440"/>
    </row>
    <row r="71" spans="1:56" s="361" customFormat="1" ht="19.5" thickBot="1">
      <c r="A71" s="438" t="s">
        <v>88</v>
      </c>
      <c r="B71" s="451"/>
      <c r="C71" s="452"/>
      <c r="D71" s="463">
        <v>0.1</v>
      </c>
      <c r="E71" s="434"/>
      <c r="F71" s="454"/>
      <c r="G71" s="440"/>
      <c r="H71" s="737" t="s">
        <v>109</v>
      </c>
      <c r="I71" s="440"/>
      <c r="J71" s="440"/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  <c r="AL71" s="454"/>
      <c r="AM71" s="454"/>
      <c r="AN71" s="454"/>
      <c r="AO71" s="454"/>
      <c r="AP71" s="454"/>
      <c r="AQ71" s="454"/>
      <c r="AR71" s="454"/>
      <c r="AS71" s="454"/>
      <c r="AT71" s="454"/>
      <c r="AU71" s="454"/>
      <c r="AV71" s="454"/>
      <c r="AW71" s="454"/>
      <c r="AX71" s="454"/>
      <c r="AY71" s="454"/>
      <c r="AZ71" s="454"/>
      <c r="BA71" s="454"/>
      <c r="BB71" s="454"/>
      <c r="BC71" s="454"/>
      <c r="BD71" s="454"/>
    </row>
    <row r="72" spans="1:56" s="334" customFormat="1" ht="19.5" thickBot="1">
      <c r="A72" s="532" t="s">
        <v>89</v>
      </c>
      <c r="B72" s="431"/>
      <c r="C72" s="432"/>
      <c r="D72" s="544">
        <f>NPV($D$71,K101:AF101)</f>
        <v>208.86775705855908</v>
      </c>
      <c r="E72" s="437" t="s">
        <v>29</v>
      </c>
      <c r="F72" s="420">
        <f>SUM(D73:D75)</f>
        <v>208.86775705855908</v>
      </c>
      <c r="G72" s="420" t="str">
        <f>IF(D72=F72,"OK","ERROR")</f>
        <v>OK</v>
      </c>
      <c r="H72" s="421"/>
      <c r="I72" s="421"/>
      <c r="J72" s="421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0"/>
      <c r="AD72" s="420"/>
      <c r="AE72" s="420"/>
      <c r="AF72" s="420"/>
      <c r="AG72" s="420"/>
      <c r="AH72" s="420"/>
      <c r="AI72" s="420"/>
      <c r="AJ72" s="420"/>
      <c r="AK72" s="420"/>
      <c r="AL72" s="420"/>
      <c r="AM72" s="420"/>
      <c r="AN72" s="420"/>
      <c r="AO72" s="420"/>
      <c r="AP72" s="420"/>
      <c r="AQ72" s="420"/>
      <c r="AR72" s="420"/>
      <c r="AS72" s="420"/>
      <c r="AT72" s="420"/>
      <c r="AU72" s="420"/>
      <c r="AV72" s="420"/>
      <c r="AW72" s="420"/>
      <c r="AX72" s="420"/>
      <c r="AY72" s="420"/>
      <c r="AZ72" s="420"/>
      <c r="BA72" s="420"/>
      <c r="BB72" s="420"/>
      <c r="BC72" s="420"/>
      <c r="BD72" s="420"/>
    </row>
    <row r="73" spans="1:56" s="334" customFormat="1" ht="19.5" thickBot="1">
      <c r="A73" s="532" t="s">
        <v>90</v>
      </c>
      <c r="B73" s="431"/>
      <c r="C73" s="432"/>
      <c r="D73" s="544">
        <f>NPV($D$71,K130:AF130)</f>
        <v>32.48506393883822</v>
      </c>
      <c r="E73" s="437" t="s">
        <v>29</v>
      </c>
      <c r="F73" s="545"/>
      <c r="G73" s="421"/>
      <c r="H73" s="421"/>
      <c r="I73" s="421"/>
      <c r="J73" s="421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0"/>
      <c r="AJ73" s="420"/>
      <c r="AK73" s="420"/>
      <c r="AL73" s="420"/>
      <c r="AM73" s="420"/>
      <c r="AN73" s="420"/>
      <c r="AO73" s="420"/>
      <c r="AP73" s="420"/>
      <c r="AQ73" s="420"/>
      <c r="AR73" s="420"/>
      <c r="AS73" s="420"/>
      <c r="AT73" s="420"/>
      <c r="AU73" s="420"/>
      <c r="AV73" s="420"/>
      <c r="AW73" s="420"/>
      <c r="AX73" s="420"/>
      <c r="AY73" s="420"/>
      <c r="AZ73" s="420"/>
      <c r="BA73" s="420"/>
      <c r="BB73" s="420"/>
      <c r="BC73" s="420"/>
      <c r="BD73" s="420"/>
    </row>
    <row r="74" spans="1:56" s="334" customFormat="1" ht="19.5" thickBot="1">
      <c r="A74" s="532" t="s">
        <v>91</v>
      </c>
      <c r="B74" s="431"/>
      <c r="C74" s="432"/>
      <c r="D74" s="544">
        <f>-NPV($D$71,K111:AF111)-NPV($D$71,K110:AF110)</f>
        <v>103.22419046948659</v>
      </c>
      <c r="E74" s="437" t="s">
        <v>29</v>
      </c>
      <c r="F74" s="420"/>
      <c r="G74" s="421"/>
      <c r="H74" s="421"/>
      <c r="I74" s="421"/>
      <c r="J74" s="421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0"/>
      <c r="AD74" s="420"/>
      <c r="AE74" s="420"/>
      <c r="AF74" s="420"/>
      <c r="AG74" s="420"/>
      <c r="AH74" s="420"/>
      <c r="AI74" s="420"/>
      <c r="AJ74" s="420"/>
      <c r="AK74" s="420"/>
      <c r="AL74" s="420"/>
      <c r="AM74" s="420"/>
      <c r="AN74" s="420"/>
      <c r="AO74" s="420"/>
      <c r="AP74" s="420"/>
      <c r="AQ74" s="420"/>
      <c r="AR74" s="420"/>
      <c r="AS74" s="420"/>
      <c r="AT74" s="420"/>
      <c r="AU74" s="420"/>
      <c r="AV74" s="420"/>
      <c r="AW74" s="420"/>
      <c r="AX74" s="420"/>
      <c r="AY74" s="420"/>
      <c r="AZ74" s="420"/>
      <c r="BA74" s="420"/>
      <c r="BB74" s="420"/>
      <c r="BC74" s="420"/>
      <c r="BD74" s="420"/>
    </row>
    <row r="75" spans="1:56" s="334" customFormat="1" ht="19.5" thickBot="1">
      <c r="A75" s="532" t="s">
        <v>96</v>
      </c>
      <c r="B75" s="431"/>
      <c r="C75" s="432"/>
      <c r="D75" s="544">
        <f>-NPV($D$71,K112:AF112)-NPV($D$71,K113:AF113)-NPV($D$71,K114:AF114)-NPV($D$71,K119:AF119)</f>
        <v>73.15850265023428</v>
      </c>
      <c r="E75" s="437" t="s">
        <v>29</v>
      </c>
      <c r="F75" s="420"/>
      <c r="G75" s="421"/>
      <c r="H75" s="421"/>
      <c r="I75" s="421"/>
      <c r="J75" s="421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20"/>
      <c r="AA75" s="420"/>
      <c r="AB75" s="420"/>
      <c r="AC75" s="420"/>
      <c r="AD75" s="420"/>
      <c r="AE75" s="420"/>
      <c r="AF75" s="420"/>
      <c r="AG75" s="420"/>
      <c r="AH75" s="420"/>
      <c r="AI75" s="420"/>
      <c r="AJ75" s="420"/>
      <c r="AK75" s="420"/>
      <c r="AL75" s="420"/>
      <c r="AM75" s="420"/>
      <c r="AN75" s="420"/>
      <c r="AO75" s="420"/>
      <c r="AP75" s="420"/>
      <c r="AQ75" s="420"/>
      <c r="AR75" s="420"/>
      <c r="AS75" s="420"/>
      <c r="AT75" s="420"/>
      <c r="AU75" s="420"/>
      <c r="AV75" s="420"/>
      <c r="AW75" s="420"/>
      <c r="AX75" s="420"/>
      <c r="AY75" s="420"/>
      <c r="AZ75" s="420"/>
      <c r="BA75" s="420"/>
      <c r="BB75" s="420"/>
      <c r="BC75" s="420"/>
      <c r="BD75" s="420"/>
    </row>
    <row r="76" spans="1:56" ht="19.5" thickBot="1">
      <c r="A76" s="546"/>
      <c r="B76" s="472"/>
      <c r="C76" s="473"/>
      <c r="D76" s="547"/>
      <c r="E76" s="475"/>
      <c r="F76" s="420"/>
      <c r="G76" s="421"/>
      <c r="H76" s="421"/>
      <c r="I76" s="421"/>
      <c r="J76" s="421"/>
      <c r="K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20"/>
      <c r="AA76" s="420"/>
      <c r="AB76" s="420"/>
      <c r="AC76" s="420"/>
      <c r="AD76" s="420"/>
      <c r="AE76" s="420"/>
      <c r="AF76" s="420"/>
      <c r="AG76" s="420"/>
      <c r="AH76" s="420"/>
      <c r="AI76" s="420"/>
      <c r="AJ76" s="420"/>
      <c r="AK76" s="420"/>
      <c r="AL76" s="420"/>
      <c r="AM76" s="420"/>
      <c r="AN76" s="420"/>
      <c r="AO76" s="420"/>
      <c r="AP76" s="420"/>
      <c r="AQ76" s="420"/>
      <c r="AR76" s="420"/>
      <c r="AS76" s="420"/>
      <c r="AT76" s="420"/>
      <c r="AU76" s="420"/>
      <c r="AV76" s="420"/>
      <c r="AW76" s="420"/>
      <c r="AX76" s="420"/>
      <c r="AY76" s="420"/>
      <c r="AZ76" s="420"/>
      <c r="BA76" s="420"/>
      <c r="BB76" s="420"/>
      <c r="BC76" s="420"/>
      <c r="BD76" s="420"/>
    </row>
    <row r="77" spans="1:56" s="9" customFormat="1" ht="19.5" thickBot="1">
      <c r="A77" s="548"/>
      <c r="B77" s="549"/>
      <c r="C77" s="454"/>
      <c r="D77" s="454"/>
      <c r="E77" s="454"/>
      <c r="F77" s="454"/>
      <c r="G77" s="440"/>
      <c r="H77" s="440"/>
      <c r="I77" s="440"/>
      <c r="J77" s="440"/>
      <c r="K77" s="454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4"/>
      <c r="AJ77" s="454"/>
      <c r="AK77" s="454"/>
      <c r="AL77" s="454"/>
      <c r="AM77" s="454"/>
      <c r="AN77" s="454"/>
      <c r="AO77" s="454"/>
      <c r="AP77" s="454"/>
      <c r="AQ77" s="454"/>
      <c r="AR77" s="454"/>
      <c r="AS77" s="454"/>
      <c r="AT77" s="454"/>
      <c r="AU77" s="454"/>
      <c r="AV77" s="454"/>
      <c r="AW77" s="454"/>
      <c r="AX77" s="454"/>
      <c r="AY77" s="454"/>
      <c r="AZ77" s="454"/>
      <c r="BA77" s="454"/>
      <c r="BB77" s="454"/>
      <c r="BC77" s="454"/>
      <c r="BD77" s="454"/>
    </row>
    <row r="78" spans="1:56" ht="18.75">
      <c r="A78" s="550"/>
      <c r="B78" s="550"/>
      <c r="C78" s="551" t="s">
        <v>4</v>
      </c>
      <c r="D78" s="552" t="s">
        <v>8</v>
      </c>
      <c r="E78" s="553" t="s">
        <v>0</v>
      </c>
      <c r="F78" s="554" t="s">
        <v>0</v>
      </c>
      <c r="G78" s="555">
        <v>2010</v>
      </c>
      <c r="H78" s="556">
        <v>2011</v>
      </c>
      <c r="I78" s="556">
        <v>2012</v>
      </c>
      <c r="J78" s="557">
        <v>2013</v>
      </c>
      <c r="K78" s="558">
        <v>2014</v>
      </c>
      <c r="L78" s="559">
        <v>2015</v>
      </c>
      <c r="M78" s="559">
        <v>2016</v>
      </c>
      <c r="N78" s="559">
        <v>2017</v>
      </c>
      <c r="O78" s="559">
        <v>2018</v>
      </c>
      <c r="P78" s="559">
        <v>2019</v>
      </c>
      <c r="Q78" s="559">
        <v>2020</v>
      </c>
      <c r="R78" s="559">
        <v>2021</v>
      </c>
      <c r="S78" s="559">
        <v>2022</v>
      </c>
      <c r="T78" s="559">
        <v>2023</v>
      </c>
      <c r="U78" s="559">
        <v>2024</v>
      </c>
      <c r="V78" s="560">
        <v>2025</v>
      </c>
      <c r="W78" s="559">
        <v>2026</v>
      </c>
      <c r="X78" s="559">
        <v>2027</v>
      </c>
      <c r="Y78" s="559">
        <v>2028</v>
      </c>
      <c r="Z78" s="559">
        <v>2029</v>
      </c>
      <c r="AA78" s="559">
        <v>2030</v>
      </c>
      <c r="AB78" s="559">
        <v>2031</v>
      </c>
      <c r="AC78" s="559">
        <v>2032</v>
      </c>
      <c r="AD78" s="559">
        <v>2033</v>
      </c>
      <c r="AE78" s="559">
        <v>2034</v>
      </c>
      <c r="AF78" s="560">
        <v>2035</v>
      </c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420"/>
      <c r="AR78" s="420"/>
      <c r="AS78" s="420"/>
      <c r="AT78" s="420"/>
      <c r="AU78" s="420"/>
      <c r="AV78" s="420"/>
      <c r="AW78" s="420"/>
      <c r="AX78" s="420"/>
      <c r="AY78" s="420"/>
      <c r="AZ78" s="420"/>
      <c r="BA78" s="420"/>
      <c r="BB78" s="420"/>
      <c r="BC78" s="420"/>
      <c r="BD78" s="420"/>
    </row>
    <row r="79" spans="1:56" s="25" customFormat="1" ht="18.75">
      <c r="A79" s="561"/>
      <c r="B79" s="561"/>
      <c r="C79" s="1064" t="s">
        <v>111</v>
      </c>
      <c r="D79" s="562" t="s">
        <v>0</v>
      </c>
      <c r="E79" s="452" t="s">
        <v>22</v>
      </c>
      <c r="F79" s="496" t="s">
        <v>23</v>
      </c>
      <c r="G79" s="1058">
        <v>1</v>
      </c>
      <c r="H79" s="1059">
        <v>2</v>
      </c>
      <c r="I79" s="1059">
        <v>3</v>
      </c>
      <c r="J79" s="1060">
        <v>4</v>
      </c>
      <c r="K79" s="1058">
        <v>5</v>
      </c>
      <c r="L79" s="1059">
        <v>6</v>
      </c>
      <c r="M79" s="1059">
        <v>7</v>
      </c>
      <c r="N79" s="1059">
        <v>8</v>
      </c>
      <c r="O79" s="1059">
        <v>9</v>
      </c>
      <c r="P79" s="1059">
        <v>10</v>
      </c>
      <c r="Q79" s="1059">
        <v>11</v>
      </c>
      <c r="R79" s="1059">
        <v>12</v>
      </c>
      <c r="S79" s="1059">
        <v>13</v>
      </c>
      <c r="T79" s="1059">
        <v>14</v>
      </c>
      <c r="U79" s="1059">
        <v>15</v>
      </c>
      <c r="V79" s="1060">
        <v>16</v>
      </c>
      <c r="W79" s="1059">
        <v>17</v>
      </c>
      <c r="X79" s="1059">
        <v>18</v>
      </c>
      <c r="Y79" s="1059">
        <v>19</v>
      </c>
      <c r="Z79" s="1059">
        <v>20</v>
      </c>
      <c r="AA79" s="1059">
        <v>21</v>
      </c>
      <c r="AB79" s="1059">
        <v>22</v>
      </c>
      <c r="AC79" s="1059">
        <v>23</v>
      </c>
      <c r="AD79" s="1059">
        <v>24</v>
      </c>
      <c r="AE79" s="1059">
        <v>25</v>
      </c>
      <c r="AF79" s="1060">
        <v>26</v>
      </c>
      <c r="AG79" s="441"/>
      <c r="AH79" s="441"/>
      <c r="AI79" s="441"/>
      <c r="AJ79" s="441"/>
      <c r="AK79" s="441"/>
      <c r="AL79" s="441"/>
      <c r="AM79" s="441"/>
      <c r="AN79" s="441"/>
      <c r="AO79" s="441"/>
      <c r="AP79" s="441"/>
      <c r="AQ79" s="441"/>
      <c r="AR79" s="441"/>
      <c r="AS79" s="441"/>
      <c r="AT79" s="441"/>
      <c r="AU79" s="441"/>
      <c r="AV79" s="441"/>
      <c r="AW79" s="441"/>
      <c r="AX79" s="441"/>
      <c r="AY79" s="441"/>
      <c r="AZ79" s="441"/>
      <c r="BA79" s="441"/>
      <c r="BB79" s="441"/>
      <c r="BC79" s="441"/>
      <c r="BD79" s="441"/>
    </row>
    <row r="80" spans="1:56" s="25" customFormat="1" ht="19.5" thickBot="1">
      <c r="A80" s="561"/>
      <c r="B80" s="561"/>
      <c r="C80" s="1065" t="s">
        <v>121</v>
      </c>
      <c r="D80" s="567" t="s">
        <v>21</v>
      </c>
      <c r="E80" s="568" t="s">
        <v>21</v>
      </c>
      <c r="F80" s="569" t="s">
        <v>21</v>
      </c>
      <c r="G80" s="1061"/>
      <c r="H80" s="1062">
        <v>0</v>
      </c>
      <c r="I80" s="1062">
        <v>0</v>
      </c>
      <c r="J80" s="1063">
        <v>0</v>
      </c>
      <c r="K80" s="1061">
        <v>1</v>
      </c>
      <c r="L80" s="1062">
        <v>2</v>
      </c>
      <c r="M80" s="1062">
        <v>3</v>
      </c>
      <c r="N80" s="1062">
        <v>4</v>
      </c>
      <c r="O80" s="1062">
        <v>5</v>
      </c>
      <c r="P80" s="1062">
        <v>6</v>
      </c>
      <c r="Q80" s="1062">
        <v>7</v>
      </c>
      <c r="R80" s="1062">
        <v>8</v>
      </c>
      <c r="S80" s="1062">
        <v>9</v>
      </c>
      <c r="T80" s="1062">
        <v>10</v>
      </c>
      <c r="U80" s="1062">
        <v>11</v>
      </c>
      <c r="V80" s="1063">
        <v>12</v>
      </c>
      <c r="W80" s="1062">
        <v>13</v>
      </c>
      <c r="X80" s="1062">
        <v>14</v>
      </c>
      <c r="Y80" s="1062">
        <v>15</v>
      </c>
      <c r="Z80" s="1062">
        <v>16</v>
      </c>
      <c r="AA80" s="1062">
        <v>17</v>
      </c>
      <c r="AB80" s="1062">
        <v>18</v>
      </c>
      <c r="AC80" s="1062">
        <v>19</v>
      </c>
      <c r="AD80" s="1062">
        <v>20</v>
      </c>
      <c r="AE80" s="1062">
        <v>21</v>
      </c>
      <c r="AF80" s="1063">
        <v>22</v>
      </c>
      <c r="AG80" s="441"/>
      <c r="AH80" s="441"/>
      <c r="AI80" s="441"/>
      <c r="AJ80" s="441"/>
      <c r="AK80" s="441"/>
      <c r="AL80" s="441"/>
      <c r="AM80" s="441"/>
      <c r="AN80" s="441"/>
      <c r="AO80" s="441"/>
      <c r="AP80" s="441"/>
      <c r="AQ80" s="441"/>
      <c r="AR80" s="441"/>
      <c r="AS80" s="441"/>
      <c r="AT80" s="441"/>
      <c r="AU80" s="441"/>
      <c r="AV80" s="441"/>
      <c r="AW80" s="441"/>
      <c r="AX80" s="441"/>
      <c r="AY80" s="441"/>
      <c r="AZ80" s="441"/>
      <c r="BA80" s="441"/>
      <c r="BB80" s="441"/>
      <c r="BC80" s="441"/>
      <c r="BD80" s="441"/>
    </row>
    <row r="81" spans="1:56" s="25" customFormat="1" ht="19.5" thickBot="1">
      <c r="A81" s="572"/>
      <c r="B81" s="573"/>
      <c r="C81" s="551"/>
      <c r="D81" s="574"/>
      <c r="E81" s="574"/>
      <c r="F81" s="575"/>
      <c r="G81" s="576"/>
      <c r="H81" s="577"/>
      <c r="I81" s="577"/>
      <c r="J81" s="521"/>
      <c r="K81" s="563"/>
      <c r="L81" s="564"/>
      <c r="M81" s="564"/>
      <c r="N81" s="564"/>
      <c r="O81" s="564"/>
      <c r="P81" s="564"/>
      <c r="Q81" s="564"/>
      <c r="R81" s="564"/>
      <c r="S81" s="564"/>
      <c r="T81" s="564"/>
      <c r="U81" s="564"/>
      <c r="V81" s="565"/>
      <c r="W81" s="564"/>
      <c r="X81" s="564"/>
      <c r="Y81" s="564"/>
      <c r="Z81" s="564"/>
      <c r="AA81" s="564"/>
      <c r="AB81" s="564"/>
      <c r="AC81" s="564"/>
      <c r="AD81" s="564"/>
      <c r="AE81" s="564"/>
      <c r="AF81" s="565"/>
      <c r="AG81" s="441"/>
      <c r="AH81" s="441"/>
      <c r="AI81" s="441"/>
      <c r="AJ81" s="441"/>
      <c r="AK81" s="441"/>
      <c r="AL81" s="441"/>
      <c r="AM81" s="441"/>
      <c r="AN81" s="441"/>
      <c r="AO81" s="441"/>
      <c r="AP81" s="441"/>
      <c r="AQ81" s="441"/>
      <c r="AR81" s="441"/>
      <c r="AS81" s="441"/>
      <c r="AT81" s="441"/>
      <c r="AU81" s="441"/>
      <c r="AV81" s="441"/>
      <c r="AW81" s="441"/>
      <c r="AX81" s="441"/>
      <c r="AY81" s="441"/>
      <c r="AZ81" s="441"/>
      <c r="BA81" s="441"/>
      <c r="BB81" s="441"/>
      <c r="BC81" s="441"/>
      <c r="BD81" s="441"/>
    </row>
    <row r="82" spans="1:56" s="35" customFormat="1" ht="19.5" thickBot="1">
      <c r="A82" s="578"/>
      <c r="B82" s="579"/>
      <c r="C82" s="495"/>
      <c r="D82" s="580"/>
      <c r="E82" s="581"/>
      <c r="F82" s="582"/>
      <c r="G82" s="583">
        <v>1</v>
      </c>
      <c r="H82" s="584">
        <f aca="true" t="shared" si="4" ref="H82:AF82">(1+$D$30)^H80</f>
        <v>1</v>
      </c>
      <c r="I82" s="584">
        <f t="shared" si="4"/>
        <v>1</v>
      </c>
      <c r="J82" s="585">
        <f t="shared" si="4"/>
        <v>1</v>
      </c>
      <c r="K82" s="583">
        <f t="shared" si="4"/>
        <v>1.08</v>
      </c>
      <c r="L82" s="584">
        <f t="shared" si="4"/>
        <v>1.1664</v>
      </c>
      <c r="M82" s="584">
        <f t="shared" si="4"/>
        <v>1.2597120000000002</v>
      </c>
      <c r="N82" s="584">
        <f t="shared" si="4"/>
        <v>1.3604889600000003</v>
      </c>
      <c r="O82" s="584">
        <f t="shared" si="4"/>
        <v>1.4693280768000003</v>
      </c>
      <c r="P82" s="584">
        <f t="shared" si="4"/>
        <v>1.5868743229440005</v>
      </c>
      <c r="Q82" s="584">
        <f t="shared" si="4"/>
        <v>1.7138242687795207</v>
      </c>
      <c r="R82" s="584">
        <f t="shared" si="4"/>
        <v>1.8509302102818823</v>
      </c>
      <c r="S82" s="584">
        <f t="shared" si="4"/>
        <v>1.999004627104433</v>
      </c>
      <c r="T82" s="584">
        <f t="shared" si="4"/>
        <v>2.1589249972727877</v>
      </c>
      <c r="U82" s="584">
        <f t="shared" si="4"/>
        <v>2.3316389970546108</v>
      </c>
      <c r="V82" s="585">
        <f t="shared" si="4"/>
        <v>2.51817011681898</v>
      </c>
      <c r="W82" s="584">
        <f t="shared" si="4"/>
        <v>2.719623726164498</v>
      </c>
      <c r="X82" s="584">
        <f t="shared" si="4"/>
        <v>2.9371936242576586</v>
      </c>
      <c r="Y82" s="584">
        <f t="shared" si="4"/>
        <v>3.1721691141982715</v>
      </c>
      <c r="Z82" s="584">
        <f t="shared" si="4"/>
        <v>3.425942643334133</v>
      </c>
      <c r="AA82" s="584">
        <f t="shared" si="4"/>
        <v>3.700018054800864</v>
      </c>
      <c r="AB82" s="584">
        <f t="shared" si="4"/>
        <v>3.9960194991849334</v>
      </c>
      <c r="AC82" s="584">
        <f t="shared" si="4"/>
        <v>4.3157010591197285</v>
      </c>
      <c r="AD82" s="584">
        <f t="shared" si="4"/>
        <v>4.6609571438493065</v>
      </c>
      <c r="AE82" s="584">
        <f t="shared" si="4"/>
        <v>5.033833715357251</v>
      </c>
      <c r="AF82" s="585">
        <f t="shared" si="4"/>
        <v>5.436540412585832</v>
      </c>
      <c r="AG82" s="441"/>
      <c r="AH82" s="441"/>
      <c r="AI82" s="441"/>
      <c r="AJ82" s="441"/>
      <c r="AK82" s="441"/>
      <c r="AL82" s="441"/>
      <c r="AM82" s="441"/>
      <c r="AN82" s="441"/>
      <c r="AO82" s="441"/>
      <c r="AP82" s="441"/>
      <c r="AQ82" s="441"/>
      <c r="AR82" s="441"/>
      <c r="AS82" s="441"/>
      <c r="AT82" s="441"/>
      <c r="AU82" s="441"/>
      <c r="AV82" s="441"/>
      <c r="AW82" s="441"/>
      <c r="AX82" s="441"/>
      <c r="AY82" s="441"/>
      <c r="AZ82" s="441"/>
      <c r="BA82" s="441"/>
      <c r="BB82" s="441"/>
      <c r="BC82" s="441"/>
      <c r="BD82" s="441"/>
    </row>
    <row r="83" spans="1:56" s="25" customFormat="1" ht="19.5" thickBot="1">
      <c r="A83" s="586"/>
      <c r="B83" s="587"/>
      <c r="C83" s="566"/>
      <c r="D83" s="581"/>
      <c r="E83" s="581"/>
      <c r="F83" s="582"/>
      <c r="G83" s="588"/>
      <c r="H83" s="589"/>
      <c r="I83" s="589"/>
      <c r="J83" s="590"/>
      <c r="K83" s="591"/>
      <c r="L83" s="592"/>
      <c r="M83" s="592"/>
      <c r="N83" s="592"/>
      <c r="O83" s="592"/>
      <c r="P83" s="592"/>
      <c r="Q83" s="592"/>
      <c r="R83" s="592"/>
      <c r="S83" s="592"/>
      <c r="T83" s="592"/>
      <c r="U83" s="592"/>
      <c r="V83" s="593"/>
      <c r="W83" s="592"/>
      <c r="X83" s="592"/>
      <c r="Y83" s="592"/>
      <c r="Z83" s="592"/>
      <c r="AA83" s="592"/>
      <c r="AB83" s="592"/>
      <c r="AC83" s="592"/>
      <c r="AD83" s="592"/>
      <c r="AE83" s="592"/>
      <c r="AF83" s="593"/>
      <c r="AG83" s="441"/>
      <c r="AH83" s="441"/>
      <c r="AI83" s="441"/>
      <c r="AJ83" s="441"/>
      <c r="AK83" s="441"/>
      <c r="AL83" s="441"/>
      <c r="AM83" s="441"/>
      <c r="AN83" s="441"/>
      <c r="AO83" s="441"/>
      <c r="AP83" s="441"/>
      <c r="AQ83" s="441"/>
      <c r="AR83" s="441"/>
      <c r="AS83" s="441"/>
      <c r="AT83" s="441"/>
      <c r="AU83" s="441"/>
      <c r="AV83" s="441"/>
      <c r="AW83" s="441"/>
      <c r="AX83" s="441"/>
      <c r="AY83" s="441"/>
      <c r="AZ83" s="441"/>
      <c r="BA83" s="441"/>
      <c r="BB83" s="441"/>
      <c r="BC83" s="441"/>
      <c r="BD83" s="441"/>
    </row>
    <row r="84" spans="1:56" s="38" customFormat="1" ht="18.75">
      <c r="A84" s="573"/>
      <c r="B84" s="573"/>
      <c r="C84" s="594" t="s">
        <v>51</v>
      </c>
      <c r="D84" s="595"/>
      <c r="E84" s="596"/>
      <c r="F84" s="597"/>
      <c r="G84" s="598"/>
      <c r="H84" s="599"/>
      <c r="I84" s="599"/>
      <c r="J84" s="600"/>
      <c r="K84" s="601"/>
      <c r="L84" s="602"/>
      <c r="M84" s="602"/>
      <c r="N84" s="602"/>
      <c r="O84" s="602"/>
      <c r="P84" s="602"/>
      <c r="Q84" s="602"/>
      <c r="R84" s="602"/>
      <c r="S84" s="602"/>
      <c r="T84" s="602"/>
      <c r="U84" s="602"/>
      <c r="V84" s="603"/>
      <c r="W84" s="602"/>
      <c r="X84" s="602"/>
      <c r="Y84" s="602"/>
      <c r="Z84" s="602"/>
      <c r="AA84" s="602"/>
      <c r="AB84" s="602"/>
      <c r="AC84" s="602"/>
      <c r="AD84" s="602"/>
      <c r="AE84" s="602"/>
      <c r="AF84" s="603"/>
      <c r="AG84" s="441"/>
      <c r="AH84" s="441"/>
      <c r="AI84" s="441"/>
      <c r="AJ84" s="441"/>
      <c r="AK84" s="441"/>
      <c r="AL84" s="441"/>
      <c r="AM84" s="441"/>
      <c r="AN84" s="441"/>
      <c r="AO84" s="441"/>
      <c r="AP84" s="441"/>
      <c r="AQ84" s="441"/>
      <c r="AR84" s="441"/>
      <c r="AS84" s="441"/>
      <c r="AT84" s="441"/>
      <c r="AU84" s="441"/>
      <c r="AV84" s="441"/>
      <c r="AW84" s="441"/>
      <c r="AX84" s="441"/>
      <c r="AY84" s="441"/>
      <c r="AZ84" s="441"/>
      <c r="BA84" s="441"/>
      <c r="BB84" s="441"/>
      <c r="BC84" s="441"/>
      <c r="BD84" s="441"/>
    </row>
    <row r="85" spans="1:56" ht="18.75">
      <c r="A85" s="561"/>
      <c r="B85" s="561"/>
      <c r="C85" s="604"/>
      <c r="D85" s="588"/>
      <c r="E85" s="589"/>
      <c r="F85" s="590"/>
      <c r="G85" s="588"/>
      <c r="H85" s="589"/>
      <c r="I85" s="589"/>
      <c r="J85" s="590"/>
      <c r="K85" s="605"/>
      <c r="L85" s="606"/>
      <c r="M85" s="606"/>
      <c r="N85" s="606"/>
      <c r="O85" s="606"/>
      <c r="P85" s="606"/>
      <c r="Q85" s="606"/>
      <c r="R85" s="606"/>
      <c r="S85" s="606"/>
      <c r="T85" s="606"/>
      <c r="U85" s="606"/>
      <c r="V85" s="607"/>
      <c r="W85" s="606"/>
      <c r="X85" s="606"/>
      <c r="Y85" s="606"/>
      <c r="Z85" s="606"/>
      <c r="AA85" s="606"/>
      <c r="AB85" s="606"/>
      <c r="AC85" s="606"/>
      <c r="AD85" s="606"/>
      <c r="AE85" s="606"/>
      <c r="AF85" s="607"/>
      <c r="AG85" s="420"/>
      <c r="AH85" s="420"/>
      <c r="AI85" s="420"/>
      <c r="AJ85" s="420"/>
      <c r="AK85" s="420"/>
      <c r="AL85" s="420"/>
      <c r="AM85" s="420"/>
      <c r="AN85" s="420"/>
      <c r="AO85" s="420"/>
      <c r="AP85" s="420"/>
      <c r="AQ85" s="420"/>
      <c r="AR85" s="420"/>
      <c r="AS85" s="420"/>
      <c r="AT85" s="420"/>
      <c r="AU85" s="420"/>
      <c r="AV85" s="420"/>
      <c r="AW85" s="420"/>
      <c r="AX85" s="420"/>
      <c r="AY85" s="420"/>
      <c r="AZ85" s="420"/>
      <c r="BA85" s="420"/>
      <c r="BB85" s="420"/>
      <c r="BC85" s="420"/>
      <c r="BD85" s="420"/>
    </row>
    <row r="86" spans="1:56" s="38" customFormat="1" ht="18.75">
      <c r="A86" s="561"/>
      <c r="B86" s="561"/>
      <c r="C86" s="501" t="s">
        <v>28</v>
      </c>
      <c r="D86" s="608">
        <f>SUM(D87:D92)</f>
        <v>-130.25</v>
      </c>
      <c r="E86" s="609">
        <f aca="true" t="shared" si="5" ref="E86:J86">SUM(E87:E92)</f>
        <v>-130.25</v>
      </c>
      <c r="F86" s="610">
        <f t="shared" si="5"/>
        <v>0</v>
      </c>
      <c r="G86" s="611">
        <f t="shared" si="5"/>
        <v>-24</v>
      </c>
      <c r="H86" s="612">
        <f t="shared" si="5"/>
        <v>-48</v>
      </c>
      <c r="I86" s="612">
        <f t="shared" si="5"/>
        <v>-47</v>
      </c>
      <c r="J86" s="613">
        <f t="shared" si="5"/>
        <v>-11.25</v>
      </c>
      <c r="K86" s="614"/>
      <c r="L86" s="615"/>
      <c r="M86" s="615"/>
      <c r="N86" s="615"/>
      <c r="O86" s="615"/>
      <c r="P86" s="615"/>
      <c r="Q86" s="615"/>
      <c r="R86" s="615"/>
      <c r="S86" s="615"/>
      <c r="T86" s="615"/>
      <c r="U86" s="615"/>
      <c r="V86" s="616"/>
      <c r="W86" s="615"/>
      <c r="X86" s="615"/>
      <c r="Y86" s="615"/>
      <c r="Z86" s="615"/>
      <c r="AA86" s="615"/>
      <c r="AB86" s="615"/>
      <c r="AC86" s="615"/>
      <c r="AD86" s="615"/>
      <c r="AE86" s="615"/>
      <c r="AF86" s="616"/>
      <c r="AG86" s="441"/>
      <c r="AH86" s="441"/>
      <c r="AI86" s="441"/>
      <c r="AJ86" s="441"/>
      <c r="AK86" s="441"/>
      <c r="AL86" s="441"/>
      <c r="AM86" s="441"/>
      <c r="AN86" s="441"/>
      <c r="AO86" s="441"/>
      <c r="AP86" s="441"/>
      <c r="AQ86" s="441"/>
      <c r="AR86" s="441"/>
      <c r="AS86" s="441"/>
      <c r="AT86" s="441"/>
      <c r="AU86" s="441"/>
      <c r="AV86" s="441"/>
      <c r="AW86" s="441"/>
      <c r="AX86" s="441"/>
      <c r="AY86" s="441"/>
      <c r="AZ86" s="441"/>
      <c r="BA86" s="441"/>
      <c r="BB86" s="441"/>
      <c r="BC86" s="441"/>
      <c r="BD86" s="441"/>
    </row>
    <row r="87" spans="1:56" ht="18.75">
      <c r="A87" s="617"/>
      <c r="B87" s="617"/>
      <c r="C87" s="618" t="s">
        <v>16</v>
      </c>
      <c r="D87" s="619">
        <f aca="true" t="shared" si="6" ref="D87:D92">SUM(G87:AF87)</f>
        <v>-5</v>
      </c>
      <c r="E87" s="620">
        <f aca="true" t="shared" si="7" ref="E87:E92">SUM(G87:J87)</f>
        <v>-5</v>
      </c>
      <c r="F87" s="621">
        <f aca="true" t="shared" si="8" ref="F87:F92">SUM(K87:AF87)</f>
        <v>0</v>
      </c>
      <c r="G87" s="622">
        <f aca="true" t="shared" si="9" ref="G87:J91">-$D9*G9</f>
        <v>-1</v>
      </c>
      <c r="H87" s="623">
        <f t="shared" si="9"/>
        <v>-2</v>
      </c>
      <c r="I87" s="623">
        <f t="shared" si="9"/>
        <v>-1.75</v>
      </c>
      <c r="J87" s="624">
        <f t="shared" si="9"/>
        <v>-0.25</v>
      </c>
      <c r="K87" s="601"/>
      <c r="L87" s="602"/>
      <c r="M87" s="602"/>
      <c r="N87" s="602"/>
      <c r="O87" s="602"/>
      <c r="P87" s="602"/>
      <c r="Q87" s="602"/>
      <c r="R87" s="602"/>
      <c r="S87" s="602"/>
      <c r="T87" s="602"/>
      <c r="U87" s="602"/>
      <c r="V87" s="603"/>
      <c r="W87" s="602"/>
      <c r="X87" s="602"/>
      <c r="Y87" s="602"/>
      <c r="Z87" s="602"/>
      <c r="AA87" s="602"/>
      <c r="AB87" s="602"/>
      <c r="AC87" s="602"/>
      <c r="AD87" s="602"/>
      <c r="AE87" s="602"/>
      <c r="AF87" s="603"/>
      <c r="AG87" s="420"/>
      <c r="AH87" s="420"/>
      <c r="AI87" s="420"/>
      <c r="AJ87" s="420"/>
      <c r="AK87" s="420"/>
      <c r="AL87" s="420"/>
      <c r="AM87" s="420"/>
      <c r="AN87" s="420"/>
      <c r="AO87" s="420"/>
      <c r="AP87" s="420"/>
      <c r="AQ87" s="420"/>
      <c r="AR87" s="420"/>
      <c r="AS87" s="420"/>
      <c r="AT87" s="420"/>
      <c r="AU87" s="420"/>
      <c r="AV87" s="420"/>
      <c r="AW87" s="420"/>
      <c r="AX87" s="420"/>
      <c r="AY87" s="420"/>
      <c r="AZ87" s="420"/>
      <c r="BA87" s="420"/>
      <c r="BB87" s="420"/>
      <c r="BC87" s="420"/>
      <c r="BD87" s="420"/>
    </row>
    <row r="88" spans="1:56" ht="18.75">
      <c r="A88" s="617"/>
      <c r="B88" s="617"/>
      <c r="C88" s="618" t="s">
        <v>17</v>
      </c>
      <c r="D88" s="619">
        <f t="shared" si="6"/>
        <v>-5</v>
      </c>
      <c r="E88" s="620">
        <f t="shared" si="7"/>
        <v>-5</v>
      </c>
      <c r="F88" s="621">
        <f t="shared" si="8"/>
        <v>0</v>
      </c>
      <c r="G88" s="622">
        <f t="shared" si="9"/>
        <v>-1</v>
      </c>
      <c r="H88" s="623">
        <f t="shared" si="9"/>
        <v>-2</v>
      </c>
      <c r="I88" s="623">
        <f t="shared" si="9"/>
        <v>-1.75</v>
      </c>
      <c r="J88" s="624">
        <f t="shared" si="9"/>
        <v>-0.25</v>
      </c>
      <c r="K88" s="601"/>
      <c r="L88" s="602"/>
      <c r="M88" s="602"/>
      <c r="N88" s="602"/>
      <c r="O88" s="602"/>
      <c r="P88" s="602"/>
      <c r="Q88" s="602"/>
      <c r="R88" s="602"/>
      <c r="S88" s="602"/>
      <c r="T88" s="602"/>
      <c r="U88" s="602"/>
      <c r="V88" s="603"/>
      <c r="W88" s="602"/>
      <c r="X88" s="602"/>
      <c r="Y88" s="602"/>
      <c r="Z88" s="602"/>
      <c r="AA88" s="602"/>
      <c r="AB88" s="602"/>
      <c r="AC88" s="602"/>
      <c r="AD88" s="602"/>
      <c r="AE88" s="602"/>
      <c r="AF88" s="603"/>
      <c r="AG88" s="420"/>
      <c r="AH88" s="420"/>
      <c r="AI88" s="420"/>
      <c r="AJ88" s="420"/>
      <c r="AK88" s="420"/>
      <c r="AL88" s="420"/>
      <c r="AM88" s="420"/>
      <c r="AN88" s="420"/>
      <c r="AO88" s="420"/>
      <c r="AP88" s="420"/>
      <c r="AQ88" s="420"/>
      <c r="AR88" s="420"/>
      <c r="AS88" s="420"/>
      <c r="AT88" s="420"/>
      <c r="AU88" s="420"/>
      <c r="AV88" s="420"/>
      <c r="AW88" s="420"/>
      <c r="AX88" s="420"/>
      <c r="AY88" s="420"/>
      <c r="AZ88" s="420"/>
      <c r="BA88" s="420"/>
      <c r="BB88" s="420"/>
      <c r="BC88" s="420"/>
      <c r="BD88" s="420"/>
    </row>
    <row r="89" spans="1:56" ht="18.75">
      <c r="A89" s="617"/>
      <c r="B89" s="617"/>
      <c r="C89" s="618" t="s">
        <v>18</v>
      </c>
      <c r="D89" s="619">
        <f t="shared" si="6"/>
        <v>-5</v>
      </c>
      <c r="E89" s="620">
        <f t="shared" si="7"/>
        <v>-5</v>
      </c>
      <c r="F89" s="621">
        <f t="shared" si="8"/>
        <v>0</v>
      </c>
      <c r="G89" s="622">
        <f t="shared" si="9"/>
        <v>-1</v>
      </c>
      <c r="H89" s="623">
        <f t="shared" si="9"/>
        <v>-2</v>
      </c>
      <c r="I89" s="623">
        <f t="shared" si="9"/>
        <v>-1.75</v>
      </c>
      <c r="J89" s="624">
        <f t="shared" si="9"/>
        <v>-0.25</v>
      </c>
      <c r="K89" s="601"/>
      <c r="L89" s="602"/>
      <c r="M89" s="602"/>
      <c r="N89" s="602"/>
      <c r="O89" s="602"/>
      <c r="P89" s="602"/>
      <c r="Q89" s="602"/>
      <c r="R89" s="602"/>
      <c r="S89" s="602"/>
      <c r="T89" s="602"/>
      <c r="U89" s="602"/>
      <c r="V89" s="603"/>
      <c r="W89" s="602"/>
      <c r="X89" s="602"/>
      <c r="Y89" s="602"/>
      <c r="Z89" s="602"/>
      <c r="AA89" s="602"/>
      <c r="AB89" s="602"/>
      <c r="AC89" s="602"/>
      <c r="AD89" s="602"/>
      <c r="AE89" s="602"/>
      <c r="AF89" s="603"/>
      <c r="AG89" s="420"/>
      <c r="AH89" s="420"/>
      <c r="AI89" s="420"/>
      <c r="AJ89" s="420"/>
      <c r="AK89" s="420"/>
      <c r="AL89" s="420"/>
      <c r="AM89" s="420"/>
      <c r="AN89" s="420"/>
      <c r="AO89" s="420"/>
      <c r="AP89" s="420"/>
      <c r="AQ89" s="420"/>
      <c r="AR89" s="420"/>
      <c r="AS89" s="420"/>
      <c r="AT89" s="420"/>
      <c r="AU89" s="420"/>
      <c r="AV89" s="420"/>
      <c r="AW89" s="420"/>
      <c r="AX89" s="420"/>
      <c r="AY89" s="420"/>
      <c r="AZ89" s="420"/>
      <c r="BA89" s="420"/>
      <c r="BB89" s="420"/>
      <c r="BC89" s="420"/>
      <c r="BD89" s="420"/>
    </row>
    <row r="90" spans="1:56" ht="18.75">
      <c r="A90" s="617"/>
      <c r="B90" s="617"/>
      <c r="C90" s="618" t="s">
        <v>19</v>
      </c>
      <c r="D90" s="619">
        <f t="shared" si="6"/>
        <v>-100</v>
      </c>
      <c r="E90" s="620">
        <f t="shared" si="7"/>
        <v>-100</v>
      </c>
      <c r="F90" s="621">
        <f t="shared" si="8"/>
        <v>0</v>
      </c>
      <c r="G90" s="622">
        <f t="shared" si="9"/>
        <v>-20</v>
      </c>
      <c r="H90" s="623">
        <f t="shared" si="9"/>
        <v>-40</v>
      </c>
      <c r="I90" s="623">
        <f t="shared" si="9"/>
        <v>-35</v>
      </c>
      <c r="J90" s="624">
        <f t="shared" si="9"/>
        <v>-5</v>
      </c>
      <c r="K90" s="601"/>
      <c r="L90" s="602"/>
      <c r="M90" s="602"/>
      <c r="N90" s="602"/>
      <c r="O90" s="602"/>
      <c r="P90" s="602"/>
      <c r="Q90" s="602"/>
      <c r="R90" s="602"/>
      <c r="S90" s="602"/>
      <c r="T90" s="602"/>
      <c r="U90" s="602"/>
      <c r="V90" s="603"/>
      <c r="W90" s="602"/>
      <c r="X90" s="602"/>
      <c r="Y90" s="602"/>
      <c r="Z90" s="602"/>
      <c r="AA90" s="602"/>
      <c r="AB90" s="602"/>
      <c r="AC90" s="602"/>
      <c r="AD90" s="602"/>
      <c r="AE90" s="602"/>
      <c r="AF90" s="603"/>
      <c r="AG90" s="420"/>
      <c r="AH90" s="420"/>
      <c r="AI90" s="420"/>
      <c r="AJ90" s="420"/>
      <c r="AK90" s="420"/>
      <c r="AL90" s="420"/>
      <c r="AM90" s="420"/>
      <c r="AN90" s="420"/>
      <c r="AO90" s="420"/>
      <c r="AP90" s="420"/>
      <c r="AQ90" s="420"/>
      <c r="AR90" s="420"/>
      <c r="AS90" s="420"/>
      <c r="AT90" s="420"/>
      <c r="AU90" s="420"/>
      <c r="AV90" s="420"/>
      <c r="AW90" s="420"/>
      <c r="AX90" s="420"/>
      <c r="AY90" s="420"/>
      <c r="AZ90" s="420"/>
      <c r="BA90" s="420"/>
      <c r="BB90" s="420"/>
      <c r="BC90" s="420"/>
      <c r="BD90" s="420"/>
    </row>
    <row r="91" spans="1:56" ht="18.75">
      <c r="A91" s="617"/>
      <c r="B91" s="617"/>
      <c r="C91" s="604" t="s">
        <v>1</v>
      </c>
      <c r="D91" s="619">
        <f t="shared" si="6"/>
        <v>-5</v>
      </c>
      <c r="E91" s="620">
        <f t="shared" si="7"/>
        <v>-5</v>
      </c>
      <c r="F91" s="621">
        <f t="shared" si="8"/>
        <v>0</v>
      </c>
      <c r="G91" s="622">
        <f t="shared" si="9"/>
        <v>-1</v>
      </c>
      <c r="H91" s="623">
        <f t="shared" si="9"/>
        <v>-2</v>
      </c>
      <c r="I91" s="623">
        <f t="shared" si="9"/>
        <v>-1.75</v>
      </c>
      <c r="J91" s="624">
        <f t="shared" si="9"/>
        <v>-0.25</v>
      </c>
      <c r="K91" s="625"/>
      <c r="L91" s="626"/>
      <c r="M91" s="626"/>
      <c r="N91" s="626"/>
      <c r="O91" s="626"/>
      <c r="P91" s="626"/>
      <c r="Q91" s="626"/>
      <c r="R91" s="626"/>
      <c r="S91" s="626"/>
      <c r="T91" s="626"/>
      <c r="U91" s="626"/>
      <c r="V91" s="627"/>
      <c r="W91" s="626"/>
      <c r="X91" s="626"/>
      <c r="Y91" s="626"/>
      <c r="Z91" s="626"/>
      <c r="AA91" s="626"/>
      <c r="AB91" s="626"/>
      <c r="AC91" s="626"/>
      <c r="AD91" s="626"/>
      <c r="AE91" s="626"/>
      <c r="AF91" s="627"/>
      <c r="AG91" s="420"/>
      <c r="AH91" s="420"/>
      <c r="AI91" s="420"/>
      <c r="AJ91" s="420"/>
      <c r="AK91" s="420"/>
      <c r="AL91" s="420"/>
      <c r="AM91" s="420"/>
      <c r="AN91" s="420"/>
      <c r="AO91" s="420"/>
      <c r="AP91" s="420"/>
      <c r="AQ91" s="420"/>
      <c r="AR91" s="420"/>
      <c r="AS91" s="420"/>
      <c r="AT91" s="420"/>
      <c r="AU91" s="420"/>
      <c r="AV91" s="420"/>
      <c r="AW91" s="420"/>
      <c r="AX91" s="420"/>
      <c r="AY91" s="420"/>
      <c r="AZ91" s="420"/>
      <c r="BA91" s="420"/>
      <c r="BB91" s="420"/>
      <c r="BC91" s="420"/>
      <c r="BD91" s="420"/>
    </row>
    <row r="92" spans="1:56" ht="18.75">
      <c r="A92" s="628"/>
      <c r="B92" s="617"/>
      <c r="C92" s="604" t="s">
        <v>37</v>
      </c>
      <c r="D92" s="619">
        <f t="shared" si="6"/>
        <v>-10.25</v>
      </c>
      <c r="E92" s="620">
        <f t="shared" si="7"/>
        <v>-10.25</v>
      </c>
      <c r="F92" s="621">
        <f t="shared" si="8"/>
        <v>0</v>
      </c>
      <c r="G92" s="622">
        <f>-G23</f>
        <v>0</v>
      </c>
      <c r="H92" s="623">
        <f>-H23</f>
        <v>0</v>
      </c>
      <c r="I92" s="1069">
        <f>-I23</f>
        <v>-5</v>
      </c>
      <c r="J92" s="1070">
        <f>-J23</f>
        <v>-5.25</v>
      </c>
      <c r="K92" s="625"/>
      <c r="L92" s="626"/>
      <c r="M92" s="626"/>
      <c r="N92" s="626"/>
      <c r="O92" s="626"/>
      <c r="P92" s="626"/>
      <c r="Q92" s="626"/>
      <c r="R92" s="626"/>
      <c r="S92" s="626"/>
      <c r="T92" s="626"/>
      <c r="U92" s="626"/>
      <c r="V92" s="627"/>
      <c r="W92" s="626"/>
      <c r="X92" s="626"/>
      <c r="Y92" s="626"/>
      <c r="Z92" s="626"/>
      <c r="AA92" s="626"/>
      <c r="AB92" s="626"/>
      <c r="AC92" s="626"/>
      <c r="AD92" s="626"/>
      <c r="AE92" s="626"/>
      <c r="AF92" s="627"/>
      <c r="AG92" s="420"/>
      <c r="AH92" s="420"/>
      <c r="AI92" s="420"/>
      <c r="AJ92" s="420"/>
      <c r="AK92" s="420"/>
      <c r="AL92" s="420"/>
      <c r="AM92" s="420"/>
      <c r="AN92" s="420"/>
      <c r="AO92" s="420"/>
      <c r="AP92" s="420"/>
      <c r="AQ92" s="420"/>
      <c r="AR92" s="420"/>
      <c r="AS92" s="420"/>
      <c r="AT92" s="420"/>
      <c r="AU92" s="420"/>
      <c r="AV92" s="420"/>
      <c r="AW92" s="420"/>
      <c r="AX92" s="420"/>
      <c r="AY92" s="420"/>
      <c r="AZ92" s="420"/>
      <c r="BA92" s="420"/>
      <c r="BB92" s="420"/>
      <c r="BC92" s="420"/>
      <c r="BD92" s="420"/>
    </row>
    <row r="93" spans="1:56" s="25" customFormat="1" ht="18.75">
      <c r="A93" s="561"/>
      <c r="B93" s="561"/>
      <c r="C93" s="499"/>
      <c r="D93" s="629"/>
      <c r="E93" s="515"/>
      <c r="F93" s="630"/>
      <c r="G93" s="588"/>
      <c r="H93" s="589"/>
      <c r="I93" s="589"/>
      <c r="J93" s="590"/>
      <c r="K93" s="601"/>
      <c r="L93" s="602"/>
      <c r="M93" s="602"/>
      <c r="N93" s="602"/>
      <c r="O93" s="602"/>
      <c r="P93" s="602"/>
      <c r="Q93" s="602"/>
      <c r="R93" s="602"/>
      <c r="S93" s="602"/>
      <c r="T93" s="602"/>
      <c r="U93" s="602"/>
      <c r="V93" s="603"/>
      <c r="W93" s="602"/>
      <c r="X93" s="602"/>
      <c r="Y93" s="602"/>
      <c r="Z93" s="602"/>
      <c r="AA93" s="602"/>
      <c r="AB93" s="602"/>
      <c r="AC93" s="602"/>
      <c r="AD93" s="602"/>
      <c r="AE93" s="602"/>
      <c r="AF93" s="603"/>
      <c r="AG93" s="441"/>
      <c r="AH93" s="441"/>
      <c r="AI93" s="441"/>
      <c r="AJ93" s="441"/>
      <c r="AK93" s="441"/>
      <c r="AL93" s="441"/>
      <c r="AM93" s="441"/>
      <c r="AN93" s="441"/>
      <c r="AO93" s="441"/>
      <c r="AP93" s="441"/>
      <c r="AQ93" s="441"/>
      <c r="AR93" s="441"/>
      <c r="AS93" s="441"/>
      <c r="AT93" s="441"/>
      <c r="AU93" s="441"/>
      <c r="AV93" s="441"/>
      <c r="AW93" s="441"/>
      <c r="AX93" s="441"/>
      <c r="AY93" s="441"/>
      <c r="AZ93" s="441"/>
      <c r="BA93" s="441"/>
      <c r="BB93" s="441"/>
      <c r="BC93" s="441"/>
      <c r="BD93" s="441"/>
    </row>
    <row r="94" spans="1:56" s="38" customFormat="1" ht="18.75">
      <c r="A94" s="561"/>
      <c r="B94" s="561"/>
      <c r="C94" s="501" t="s">
        <v>6</v>
      </c>
      <c r="D94" s="631">
        <f>SUM(G94:AF94)</f>
        <v>130.25</v>
      </c>
      <c r="E94" s="632">
        <f>SUM(G94:J94)</f>
        <v>130.25</v>
      </c>
      <c r="F94" s="633">
        <f>SUM(K94:AF94)</f>
        <v>0</v>
      </c>
      <c r="G94" s="634">
        <f>SUM(G95:G97)</f>
        <v>0</v>
      </c>
      <c r="H94" s="635">
        <f>SUM(H95:H97)</f>
        <v>0</v>
      </c>
      <c r="I94" s="635">
        <f>SUM(I95:I97)</f>
        <v>65.125</v>
      </c>
      <c r="J94" s="636">
        <f>SUM(J95:J97)</f>
        <v>65.125</v>
      </c>
      <c r="K94" s="637"/>
      <c r="L94" s="638"/>
      <c r="M94" s="638"/>
      <c r="N94" s="638"/>
      <c r="O94" s="638"/>
      <c r="P94" s="638"/>
      <c r="Q94" s="638"/>
      <c r="R94" s="638"/>
      <c r="S94" s="638"/>
      <c r="T94" s="638"/>
      <c r="U94" s="638"/>
      <c r="V94" s="639"/>
      <c r="W94" s="638"/>
      <c r="X94" s="638"/>
      <c r="Y94" s="638"/>
      <c r="Z94" s="638"/>
      <c r="AA94" s="638"/>
      <c r="AB94" s="638"/>
      <c r="AC94" s="638"/>
      <c r="AD94" s="638"/>
      <c r="AE94" s="638"/>
      <c r="AF94" s="639"/>
      <c r="AG94" s="441"/>
      <c r="AH94" s="441"/>
      <c r="AI94" s="441"/>
      <c r="AJ94" s="441"/>
      <c r="AK94" s="441"/>
      <c r="AL94" s="441"/>
      <c r="AM94" s="441"/>
      <c r="AN94" s="441"/>
      <c r="AO94" s="441"/>
      <c r="AP94" s="441"/>
      <c r="AQ94" s="441"/>
      <c r="AR94" s="441"/>
      <c r="AS94" s="441"/>
      <c r="AT94" s="441"/>
      <c r="AU94" s="441"/>
      <c r="AV94" s="441"/>
      <c r="AW94" s="441"/>
      <c r="AX94" s="441"/>
      <c r="AY94" s="441"/>
      <c r="AZ94" s="441"/>
      <c r="BA94" s="441"/>
      <c r="BB94" s="441"/>
      <c r="BC94" s="441"/>
      <c r="BD94" s="441"/>
    </row>
    <row r="95" spans="1:56" ht="18.75">
      <c r="A95" s="617"/>
      <c r="B95" s="617"/>
      <c r="C95" s="604" t="s">
        <v>43</v>
      </c>
      <c r="D95" s="619">
        <f>SUM(G95:AF95)</f>
        <v>0</v>
      </c>
      <c r="E95" s="620">
        <f>SUM(G95:J95)</f>
        <v>0</v>
      </c>
      <c r="F95" s="621">
        <f>SUM(K95:AF95)</f>
        <v>0</v>
      </c>
      <c r="G95" s="622">
        <f aca="true" t="shared" si="10" ref="G95:J96">$D17*G17</f>
        <v>0</v>
      </c>
      <c r="H95" s="623">
        <f t="shared" si="10"/>
        <v>0</v>
      </c>
      <c r="I95" s="623">
        <f t="shared" si="10"/>
        <v>0</v>
      </c>
      <c r="J95" s="624">
        <f t="shared" si="10"/>
        <v>0</v>
      </c>
      <c r="K95" s="605"/>
      <c r="L95" s="606"/>
      <c r="M95" s="606"/>
      <c r="N95" s="606"/>
      <c r="O95" s="606"/>
      <c r="P95" s="606"/>
      <c r="Q95" s="606"/>
      <c r="R95" s="606"/>
      <c r="S95" s="606"/>
      <c r="T95" s="606"/>
      <c r="U95" s="606"/>
      <c r="V95" s="607"/>
      <c r="W95" s="606"/>
      <c r="X95" s="606"/>
      <c r="Y95" s="606"/>
      <c r="Z95" s="606"/>
      <c r="AA95" s="606"/>
      <c r="AB95" s="606"/>
      <c r="AC95" s="606"/>
      <c r="AD95" s="606"/>
      <c r="AE95" s="606"/>
      <c r="AF95" s="607"/>
      <c r="AG95" s="420"/>
      <c r="AH95" s="420"/>
      <c r="AI95" s="420"/>
      <c r="AJ95" s="420"/>
      <c r="AK95" s="420"/>
      <c r="AL95" s="420"/>
      <c r="AM95" s="420"/>
      <c r="AN95" s="420"/>
      <c r="AO95" s="420"/>
      <c r="AP95" s="420"/>
      <c r="AQ95" s="420"/>
      <c r="AR95" s="420"/>
      <c r="AS95" s="420"/>
      <c r="AT95" s="420"/>
      <c r="AU95" s="420"/>
      <c r="AV95" s="420"/>
      <c r="AW95" s="420"/>
      <c r="AX95" s="420"/>
      <c r="AY95" s="420"/>
      <c r="AZ95" s="420"/>
      <c r="BA95" s="420"/>
      <c r="BB95" s="420"/>
      <c r="BC95" s="420"/>
      <c r="BD95" s="420"/>
    </row>
    <row r="96" spans="1:56" ht="18.75">
      <c r="A96" s="640"/>
      <c r="B96" s="617"/>
      <c r="C96" s="604" t="s">
        <v>3</v>
      </c>
      <c r="D96" s="619">
        <f>SUM(G96:AF96)</f>
        <v>20</v>
      </c>
      <c r="E96" s="620">
        <f>SUM(G96:J96)</f>
        <v>20</v>
      </c>
      <c r="F96" s="621">
        <f>SUM(K96:AF96)</f>
        <v>0</v>
      </c>
      <c r="G96" s="622">
        <f t="shared" si="10"/>
        <v>0</v>
      </c>
      <c r="H96" s="623">
        <f t="shared" si="10"/>
        <v>0</v>
      </c>
      <c r="I96" s="623">
        <f t="shared" si="10"/>
        <v>10</v>
      </c>
      <c r="J96" s="624">
        <f t="shared" si="10"/>
        <v>10</v>
      </c>
      <c r="K96" s="605"/>
      <c r="L96" s="606"/>
      <c r="M96" s="606"/>
      <c r="N96" s="606"/>
      <c r="O96" s="606"/>
      <c r="P96" s="606"/>
      <c r="Q96" s="606"/>
      <c r="R96" s="606"/>
      <c r="S96" s="606"/>
      <c r="T96" s="606"/>
      <c r="U96" s="606"/>
      <c r="V96" s="607"/>
      <c r="W96" s="606"/>
      <c r="X96" s="606"/>
      <c r="Y96" s="606"/>
      <c r="Z96" s="606"/>
      <c r="AA96" s="606"/>
      <c r="AB96" s="606"/>
      <c r="AC96" s="606"/>
      <c r="AD96" s="606"/>
      <c r="AE96" s="606"/>
      <c r="AF96" s="607"/>
      <c r="AG96" s="420"/>
      <c r="AH96" s="420"/>
      <c r="AI96" s="420"/>
      <c r="AJ96" s="420"/>
      <c r="AK96" s="420"/>
      <c r="AL96" s="420"/>
      <c r="AM96" s="420"/>
      <c r="AN96" s="420"/>
      <c r="AO96" s="420"/>
      <c r="AP96" s="420"/>
      <c r="AQ96" s="420"/>
      <c r="AR96" s="420"/>
      <c r="AS96" s="420"/>
      <c r="AT96" s="420"/>
      <c r="AU96" s="420"/>
      <c r="AV96" s="420"/>
      <c r="AW96" s="420"/>
      <c r="AX96" s="420"/>
      <c r="AY96" s="420"/>
      <c r="AZ96" s="420"/>
      <c r="BA96" s="420"/>
      <c r="BB96" s="420"/>
      <c r="BC96" s="420"/>
      <c r="BD96" s="420"/>
    </row>
    <row r="97" spans="1:56" ht="18.75">
      <c r="A97" s="641"/>
      <c r="B97" s="617"/>
      <c r="C97" s="604" t="s">
        <v>34</v>
      </c>
      <c r="D97" s="619">
        <f>SUM(G97:AF97)</f>
        <v>110.25</v>
      </c>
      <c r="E97" s="620">
        <f>SUM(G97:J97)</f>
        <v>110.25</v>
      </c>
      <c r="F97" s="621">
        <f>SUM(K97:AF97)</f>
        <v>0</v>
      </c>
      <c r="G97" s="622">
        <f>$D24*G22</f>
        <v>0</v>
      </c>
      <c r="H97" s="623">
        <f>$D24*H22</f>
        <v>0</v>
      </c>
      <c r="I97" s="623">
        <f>$D24*I22</f>
        <v>55.125</v>
      </c>
      <c r="J97" s="624">
        <f>$D24*J22</f>
        <v>55.125</v>
      </c>
      <c r="K97" s="605"/>
      <c r="L97" s="606"/>
      <c r="M97" s="606"/>
      <c r="N97" s="606"/>
      <c r="O97" s="606"/>
      <c r="P97" s="606"/>
      <c r="Q97" s="606"/>
      <c r="R97" s="606"/>
      <c r="S97" s="606"/>
      <c r="T97" s="606"/>
      <c r="U97" s="606"/>
      <c r="V97" s="607"/>
      <c r="W97" s="606"/>
      <c r="X97" s="606"/>
      <c r="Y97" s="606"/>
      <c r="Z97" s="606"/>
      <c r="AA97" s="606"/>
      <c r="AB97" s="606"/>
      <c r="AC97" s="606"/>
      <c r="AD97" s="606"/>
      <c r="AE97" s="606"/>
      <c r="AF97" s="607"/>
      <c r="AG97" s="420"/>
      <c r="AH97" s="420"/>
      <c r="AI97" s="420"/>
      <c r="AJ97" s="420"/>
      <c r="AK97" s="420"/>
      <c r="AL97" s="420"/>
      <c r="AM97" s="420"/>
      <c r="AN97" s="420"/>
      <c r="AO97" s="420"/>
      <c r="AP97" s="420"/>
      <c r="AQ97" s="420"/>
      <c r="AR97" s="420"/>
      <c r="AS97" s="420"/>
      <c r="AT97" s="420"/>
      <c r="AU97" s="420"/>
      <c r="AV97" s="420"/>
      <c r="AW97" s="420"/>
      <c r="AX97" s="420"/>
      <c r="AY97" s="420"/>
      <c r="AZ97" s="420"/>
      <c r="BA97" s="420"/>
      <c r="BB97" s="420"/>
      <c r="BC97" s="420"/>
      <c r="BD97" s="420"/>
    </row>
    <row r="98" spans="1:56" ht="19.5" thickBot="1">
      <c r="A98" s="617"/>
      <c r="B98" s="617"/>
      <c r="C98" s="604"/>
      <c r="D98" s="588"/>
      <c r="E98" s="589"/>
      <c r="F98" s="590"/>
      <c r="G98" s="642"/>
      <c r="H98" s="643"/>
      <c r="I98" s="643"/>
      <c r="J98" s="644"/>
      <c r="K98" s="645"/>
      <c r="L98" s="646"/>
      <c r="M98" s="646"/>
      <c r="N98" s="646"/>
      <c r="O98" s="646"/>
      <c r="P98" s="646"/>
      <c r="Q98" s="646"/>
      <c r="R98" s="646"/>
      <c r="S98" s="646"/>
      <c r="T98" s="646"/>
      <c r="U98" s="646"/>
      <c r="V98" s="647"/>
      <c r="W98" s="626"/>
      <c r="X98" s="626"/>
      <c r="Y98" s="626"/>
      <c r="Z98" s="626"/>
      <c r="AA98" s="626"/>
      <c r="AB98" s="626"/>
      <c r="AC98" s="626"/>
      <c r="AD98" s="626"/>
      <c r="AE98" s="626"/>
      <c r="AF98" s="627"/>
      <c r="AG98" s="420"/>
      <c r="AH98" s="420"/>
      <c r="AI98" s="420"/>
      <c r="AJ98" s="420"/>
      <c r="AK98" s="420"/>
      <c r="AL98" s="420"/>
      <c r="AM98" s="420"/>
      <c r="AN98" s="420"/>
      <c r="AO98" s="420"/>
      <c r="AP98" s="420"/>
      <c r="AQ98" s="420"/>
      <c r="AR98" s="420"/>
      <c r="AS98" s="420"/>
      <c r="AT98" s="420"/>
      <c r="AU98" s="420"/>
      <c r="AV98" s="420"/>
      <c r="AW98" s="420"/>
      <c r="AX98" s="420"/>
      <c r="AY98" s="420"/>
      <c r="AZ98" s="420"/>
      <c r="BA98" s="420"/>
      <c r="BB98" s="420"/>
      <c r="BC98" s="420"/>
      <c r="BD98" s="420"/>
    </row>
    <row r="99" spans="1:56" s="47" customFormat="1" ht="18.75">
      <c r="A99" s="550"/>
      <c r="B99" s="550"/>
      <c r="C99" s="648" t="s">
        <v>50</v>
      </c>
      <c r="D99" s="598"/>
      <c r="E99" s="599"/>
      <c r="F99" s="600"/>
      <c r="G99" s="598"/>
      <c r="H99" s="599"/>
      <c r="I99" s="599"/>
      <c r="J99" s="600"/>
      <c r="K99" s="649"/>
      <c r="L99" s="650"/>
      <c r="M99" s="650"/>
      <c r="N99" s="650"/>
      <c r="O99" s="650"/>
      <c r="P99" s="650"/>
      <c r="Q99" s="650"/>
      <c r="R99" s="650"/>
      <c r="S99" s="650"/>
      <c r="T99" s="650"/>
      <c r="U99" s="650"/>
      <c r="V99" s="651"/>
      <c r="W99" s="650"/>
      <c r="X99" s="650"/>
      <c r="Y99" s="650"/>
      <c r="Z99" s="650"/>
      <c r="AA99" s="650"/>
      <c r="AB99" s="650"/>
      <c r="AC99" s="650"/>
      <c r="AD99" s="650"/>
      <c r="AE99" s="650"/>
      <c r="AF99" s="651"/>
      <c r="AG99" s="420"/>
      <c r="AH99" s="420"/>
      <c r="AI99" s="420"/>
      <c r="AJ99" s="420"/>
      <c r="AK99" s="420"/>
      <c r="AL99" s="420"/>
      <c r="AM99" s="420"/>
      <c r="AN99" s="420"/>
      <c r="AO99" s="420"/>
      <c r="AP99" s="420"/>
      <c r="AQ99" s="420"/>
      <c r="AR99" s="420"/>
      <c r="AS99" s="420"/>
      <c r="AT99" s="420"/>
      <c r="AU99" s="420"/>
      <c r="AV99" s="420"/>
      <c r="AW99" s="420"/>
      <c r="AX99" s="420"/>
      <c r="AY99" s="420"/>
      <c r="AZ99" s="420"/>
      <c r="BA99" s="420"/>
      <c r="BB99" s="420"/>
      <c r="BC99" s="420"/>
      <c r="BD99" s="420"/>
    </row>
    <row r="100" spans="1:56" ht="18.75">
      <c r="A100" s="617"/>
      <c r="B100" s="617"/>
      <c r="C100" s="652"/>
      <c r="D100" s="588"/>
      <c r="E100" s="589"/>
      <c r="F100" s="590"/>
      <c r="G100" s="588"/>
      <c r="H100" s="589"/>
      <c r="I100" s="589"/>
      <c r="J100" s="590"/>
      <c r="K100" s="653"/>
      <c r="L100" s="654"/>
      <c r="M100" s="654"/>
      <c r="N100" s="654"/>
      <c r="O100" s="654"/>
      <c r="P100" s="654"/>
      <c r="Q100" s="654"/>
      <c r="R100" s="654"/>
      <c r="S100" s="654"/>
      <c r="T100" s="654"/>
      <c r="U100" s="654"/>
      <c r="V100" s="655"/>
      <c r="W100" s="654"/>
      <c r="X100" s="654"/>
      <c r="Y100" s="654"/>
      <c r="Z100" s="654"/>
      <c r="AA100" s="654"/>
      <c r="AB100" s="654"/>
      <c r="AC100" s="654"/>
      <c r="AD100" s="654"/>
      <c r="AE100" s="654"/>
      <c r="AF100" s="655"/>
      <c r="AG100" s="420"/>
      <c r="AH100" s="420"/>
      <c r="AI100" s="420"/>
      <c r="AJ100" s="420"/>
      <c r="AK100" s="420"/>
      <c r="AL100" s="420"/>
      <c r="AM100" s="420"/>
      <c r="AN100" s="420"/>
      <c r="AO100" s="420"/>
      <c r="AP100" s="420"/>
      <c r="AQ100" s="420"/>
      <c r="AR100" s="420"/>
      <c r="AS100" s="420"/>
      <c r="AT100" s="420"/>
      <c r="AU100" s="420"/>
      <c r="AV100" s="420"/>
      <c r="AW100" s="420"/>
      <c r="AX100" s="420"/>
      <c r="AY100" s="420"/>
      <c r="AZ100" s="420"/>
      <c r="BA100" s="420"/>
      <c r="BB100" s="420"/>
      <c r="BC100" s="420"/>
      <c r="BD100" s="420"/>
    </row>
    <row r="101" spans="1:56" s="9" customFormat="1" ht="18.75">
      <c r="A101" s="561"/>
      <c r="B101" s="561"/>
      <c r="C101" s="501" t="s">
        <v>2</v>
      </c>
      <c r="D101" s="608">
        <f aca="true" t="shared" si="11" ref="D101:D107">SUM(G101:AF101)</f>
        <v>547.1373066077762</v>
      </c>
      <c r="E101" s="609">
        <f aca="true" t="shared" si="12" ref="E101:E107">SUM(G101:J101)</f>
        <v>0</v>
      </c>
      <c r="F101" s="610">
        <f aca="true" t="shared" si="13" ref="F101:F107">SUM(K101:AF101)</f>
        <v>547.1373066077762</v>
      </c>
      <c r="G101" s="656"/>
      <c r="H101" s="657"/>
      <c r="I101" s="657"/>
      <c r="J101" s="658"/>
      <c r="K101" s="659">
        <f>SUM(K102:K107)</f>
        <v>24.381081127272733</v>
      </c>
      <c r="L101" s="660">
        <f aca="true" t="shared" si="14" ref="L101:AF101">SUM(L102:L107)</f>
        <v>23.981113072000003</v>
      </c>
      <c r="M101" s="660">
        <f t="shared" si="14"/>
        <v>23.607947572305456</v>
      </c>
      <c r="N101" s="660">
        <f t="shared" si="14"/>
        <v>23.263728832635348</v>
      </c>
      <c r="O101" s="660">
        <f t="shared" si="14"/>
        <v>22.950772593791626</v>
      </c>
      <c r="P101" s="660">
        <f t="shared" si="14"/>
        <v>22.671579855840417</v>
      </c>
      <c r="Q101" s="660">
        <f t="shared" si="14"/>
        <v>22.428851698853105</v>
      </c>
      <c r="R101" s="660">
        <f t="shared" si="14"/>
        <v>22.225505289306806</v>
      </c>
      <c r="S101" s="660">
        <f t="shared" si="14"/>
        <v>22.064691166996806</v>
      </c>
      <c r="T101" s="660">
        <f t="shared" si="14"/>
        <v>21.949811914902007</v>
      </c>
      <c r="U101" s="660">
        <f t="shared" si="14"/>
        <v>21.88454232263962</v>
      </c>
      <c r="V101" s="661">
        <f t="shared" si="14"/>
        <v>21.872851162996245</v>
      </c>
      <c r="W101" s="660">
        <f t="shared" si="14"/>
        <v>22.6540247105814</v>
      </c>
      <c r="X101" s="660">
        <f t="shared" si="14"/>
        <v>23.49769214197337</v>
      </c>
      <c r="Y101" s="660">
        <f t="shared" si="14"/>
        <v>24.408852967876694</v>
      </c>
      <c r="Z101" s="660">
        <f t="shared" si="14"/>
        <v>25.39290665985228</v>
      </c>
      <c r="AA101" s="660">
        <f t="shared" si="14"/>
        <v>26.455684647185922</v>
      </c>
      <c r="AB101" s="660">
        <f t="shared" si="14"/>
        <v>27.603484873506247</v>
      </c>
      <c r="AC101" s="660">
        <f t="shared" si="14"/>
        <v>28.843109117932208</v>
      </c>
      <c r="AD101" s="660">
        <f t="shared" si="14"/>
        <v>30.181903301912236</v>
      </c>
      <c r="AE101" s="660">
        <f t="shared" si="14"/>
        <v>31.62780102061067</v>
      </c>
      <c r="AF101" s="661">
        <f t="shared" si="14"/>
        <v>33.18937055680498</v>
      </c>
      <c r="AG101" s="454"/>
      <c r="AH101" s="454"/>
      <c r="AI101" s="454"/>
      <c r="AJ101" s="454"/>
      <c r="AK101" s="454"/>
      <c r="AL101" s="454"/>
      <c r="AM101" s="454"/>
      <c r="AN101" s="454"/>
      <c r="AO101" s="454"/>
      <c r="AP101" s="454"/>
      <c r="AQ101" s="454"/>
      <c r="AR101" s="454"/>
      <c r="AS101" s="454"/>
      <c r="AT101" s="454"/>
      <c r="AU101" s="454"/>
      <c r="AV101" s="454"/>
      <c r="AW101" s="454"/>
      <c r="AX101" s="454"/>
      <c r="AY101" s="454"/>
      <c r="AZ101" s="454"/>
      <c r="BA101" s="454"/>
      <c r="BB101" s="454"/>
      <c r="BC101" s="454"/>
      <c r="BD101" s="454"/>
    </row>
    <row r="102" spans="1:56" ht="18.75">
      <c r="A102" s="628"/>
      <c r="B102" s="662"/>
      <c r="C102" s="604" t="s">
        <v>24</v>
      </c>
      <c r="D102" s="619">
        <f>SUM(G102:AF102)</f>
        <v>39.99999999999999</v>
      </c>
      <c r="E102" s="620">
        <f t="shared" si="12"/>
        <v>0</v>
      </c>
      <c r="F102" s="621">
        <f>SUM(K102:AF102)</f>
        <v>39.99999999999999</v>
      </c>
      <c r="G102" s="588"/>
      <c r="H102" s="589"/>
      <c r="I102" s="589"/>
      <c r="J102" s="590"/>
      <c r="K102" s="622">
        <f>$D$18*$D$19/22</f>
        <v>1.8181818181818181</v>
      </c>
      <c r="L102" s="623">
        <f>$D$18*$D$19/22</f>
        <v>1.8181818181818181</v>
      </c>
      <c r="M102" s="623">
        <f aca="true" t="shared" si="15" ref="M102:AF102">$D$18*$D$19/22</f>
        <v>1.8181818181818181</v>
      </c>
      <c r="N102" s="623">
        <f t="shared" si="15"/>
        <v>1.8181818181818181</v>
      </c>
      <c r="O102" s="623">
        <f t="shared" si="15"/>
        <v>1.8181818181818181</v>
      </c>
      <c r="P102" s="623">
        <f t="shared" si="15"/>
        <v>1.8181818181818181</v>
      </c>
      <c r="Q102" s="623">
        <f t="shared" si="15"/>
        <v>1.8181818181818181</v>
      </c>
      <c r="R102" s="623">
        <f t="shared" si="15"/>
        <v>1.8181818181818181</v>
      </c>
      <c r="S102" s="623">
        <f t="shared" si="15"/>
        <v>1.8181818181818181</v>
      </c>
      <c r="T102" s="623">
        <f t="shared" si="15"/>
        <v>1.8181818181818181</v>
      </c>
      <c r="U102" s="623">
        <f t="shared" si="15"/>
        <v>1.8181818181818181</v>
      </c>
      <c r="V102" s="624">
        <f t="shared" si="15"/>
        <v>1.8181818181818181</v>
      </c>
      <c r="W102" s="623">
        <f t="shared" si="15"/>
        <v>1.8181818181818181</v>
      </c>
      <c r="X102" s="623">
        <f t="shared" si="15"/>
        <v>1.8181818181818181</v>
      </c>
      <c r="Y102" s="623">
        <f t="shared" si="15"/>
        <v>1.8181818181818181</v>
      </c>
      <c r="Z102" s="623">
        <f t="shared" si="15"/>
        <v>1.8181818181818181</v>
      </c>
      <c r="AA102" s="623">
        <f t="shared" si="15"/>
        <v>1.8181818181818181</v>
      </c>
      <c r="AB102" s="623">
        <f t="shared" si="15"/>
        <v>1.8181818181818181</v>
      </c>
      <c r="AC102" s="623">
        <f t="shared" si="15"/>
        <v>1.8181818181818181</v>
      </c>
      <c r="AD102" s="623">
        <f t="shared" si="15"/>
        <v>1.8181818181818181</v>
      </c>
      <c r="AE102" s="623">
        <f t="shared" si="15"/>
        <v>1.8181818181818181</v>
      </c>
      <c r="AF102" s="624">
        <f t="shared" si="15"/>
        <v>1.8181818181818181</v>
      </c>
      <c r="AG102" s="663"/>
      <c r="AH102" s="663"/>
      <c r="AI102" s="420"/>
      <c r="AJ102" s="420"/>
      <c r="AK102" s="420"/>
      <c r="AL102" s="420"/>
      <c r="AM102" s="420"/>
      <c r="AN102" s="420"/>
      <c r="AO102" s="420"/>
      <c r="AP102" s="420"/>
      <c r="AQ102" s="420"/>
      <c r="AR102" s="420"/>
      <c r="AS102" s="420"/>
      <c r="AT102" s="420"/>
      <c r="AU102" s="420"/>
      <c r="AV102" s="420"/>
      <c r="AW102" s="420"/>
      <c r="AX102" s="420"/>
      <c r="AY102" s="420"/>
      <c r="AZ102" s="420"/>
      <c r="BA102" s="420"/>
      <c r="BB102" s="420"/>
      <c r="BC102" s="420"/>
      <c r="BD102" s="420"/>
    </row>
    <row r="103" spans="1:56" ht="18.75">
      <c r="A103" s="617"/>
      <c r="B103" s="617"/>
      <c r="C103" s="604" t="s">
        <v>26</v>
      </c>
      <c r="D103" s="619">
        <f t="shared" si="11"/>
        <v>161.69999999999993</v>
      </c>
      <c r="E103" s="620">
        <f t="shared" si="12"/>
        <v>0</v>
      </c>
      <c r="F103" s="621">
        <f t="shared" si="13"/>
        <v>161.69999999999993</v>
      </c>
      <c r="G103" s="588"/>
      <c r="H103" s="589"/>
      <c r="I103" s="589"/>
      <c r="J103" s="590"/>
      <c r="K103" s="664">
        <f>-K110</f>
        <v>7.35</v>
      </c>
      <c r="L103" s="665">
        <f aca="true" t="shared" si="16" ref="L103:V103">-L110</f>
        <v>7.35</v>
      </c>
      <c r="M103" s="665">
        <f t="shared" si="16"/>
        <v>7.35</v>
      </c>
      <c r="N103" s="665">
        <f t="shared" si="16"/>
        <v>7.35</v>
      </c>
      <c r="O103" s="665">
        <f t="shared" si="16"/>
        <v>7.35</v>
      </c>
      <c r="P103" s="665">
        <f t="shared" si="16"/>
        <v>7.35</v>
      </c>
      <c r="Q103" s="665">
        <f t="shared" si="16"/>
        <v>7.35</v>
      </c>
      <c r="R103" s="665">
        <f t="shared" si="16"/>
        <v>7.35</v>
      </c>
      <c r="S103" s="665">
        <f t="shared" si="16"/>
        <v>7.35</v>
      </c>
      <c r="T103" s="665">
        <f t="shared" si="16"/>
        <v>7.35</v>
      </c>
      <c r="U103" s="665">
        <f t="shared" si="16"/>
        <v>7.35</v>
      </c>
      <c r="V103" s="666">
        <f t="shared" si="16"/>
        <v>7.35</v>
      </c>
      <c r="W103" s="667">
        <f>V103</f>
        <v>7.35</v>
      </c>
      <c r="X103" s="667">
        <f aca="true" t="shared" si="17" ref="X103:AF103">W103</f>
        <v>7.35</v>
      </c>
      <c r="Y103" s="667">
        <f t="shared" si="17"/>
        <v>7.35</v>
      </c>
      <c r="Z103" s="667">
        <f t="shared" si="17"/>
        <v>7.35</v>
      </c>
      <c r="AA103" s="667">
        <f t="shared" si="17"/>
        <v>7.35</v>
      </c>
      <c r="AB103" s="667">
        <f t="shared" si="17"/>
        <v>7.35</v>
      </c>
      <c r="AC103" s="667">
        <f t="shared" si="17"/>
        <v>7.35</v>
      </c>
      <c r="AD103" s="667">
        <f t="shared" si="17"/>
        <v>7.35</v>
      </c>
      <c r="AE103" s="667">
        <f t="shared" si="17"/>
        <v>7.35</v>
      </c>
      <c r="AF103" s="668">
        <f t="shared" si="17"/>
        <v>7.35</v>
      </c>
      <c r="AG103" s="663"/>
      <c r="AH103" s="663"/>
      <c r="AI103" s="420"/>
      <c r="AJ103" s="420"/>
      <c r="AK103" s="420"/>
      <c r="AL103" s="420"/>
      <c r="AM103" s="420"/>
      <c r="AN103" s="420"/>
      <c r="AO103" s="420"/>
      <c r="AP103" s="420"/>
      <c r="AQ103" s="420"/>
      <c r="AR103" s="420"/>
      <c r="AS103" s="420"/>
      <c r="AT103" s="420"/>
      <c r="AU103" s="420"/>
      <c r="AV103" s="420"/>
      <c r="AW103" s="420"/>
      <c r="AX103" s="420"/>
      <c r="AY103" s="420"/>
      <c r="AZ103" s="420"/>
      <c r="BA103" s="420"/>
      <c r="BB103" s="420"/>
      <c r="BC103" s="420"/>
      <c r="BD103" s="420"/>
    </row>
    <row r="104" spans="1:56" ht="18.75">
      <c r="A104" s="628"/>
      <c r="B104" s="662"/>
      <c r="C104" s="604" t="s">
        <v>25</v>
      </c>
      <c r="D104" s="619">
        <f>SUM(G104:AF104)</f>
        <v>113.18999999999997</v>
      </c>
      <c r="E104" s="620">
        <f t="shared" si="12"/>
        <v>0</v>
      </c>
      <c r="F104" s="621">
        <f>SUM(K104:AF104)</f>
        <v>113.18999999999997</v>
      </c>
      <c r="G104" s="588"/>
      <c r="H104" s="589"/>
      <c r="I104" s="589"/>
      <c r="J104" s="590"/>
      <c r="K104" s="664">
        <f>-K111</f>
        <v>11.025</v>
      </c>
      <c r="L104" s="665">
        <f aca="true" t="shared" si="18" ref="L104:V104">-L111</f>
        <v>10.290000000000001</v>
      </c>
      <c r="M104" s="665">
        <f t="shared" si="18"/>
        <v>9.555</v>
      </c>
      <c r="N104" s="665">
        <f t="shared" si="18"/>
        <v>8.82</v>
      </c>
      <c r="O104" s="665">
        <f t="shared" si="18"/>
        <v>8.084999999999999</v>
      </c>
      <c r="P104" s="665">
        <f t="shared" si="18"/>
        <v>7.3500000000000005</v>
      </c>
      <c r="Q104" s="665">
        <f t="shared" si="18"/>
        <v>6.615000000000001</v>
      </c>
      <c r="R104" s="665">
        <f t="shared" si="18"/>
        <v>5.88</v>
      </c>
      <c r="S104" s="665">
        <f t="shared" si="18"/>
        <v>5.145</v>
      </c>
      <c r="T104" s="665">
        <f t="shared" si="18"/>
        <v>4.409999999999999</v>
      </c>
      <c r="U104" s="665">
        <f t="shared" si="18"/>
        <v>3.6750000000000003</v>
      </c>
      <c r="V104" s="666">
        <f t="shared" si="18"/>
        <v>2.940000000000001</v>
      </c>
      <c r="W104" s="667">
        <f>V104</f>
        <v>2.940000000000001</v>
      </c>
      <c r="X104" s="667">
        <f aca="true" t="shared" si="19" ref="X104:AF104">W104</f>
        <v>2.940000000000001</v>
      </c>
      <c r="Y104" s="667">
        <f t="shared" si="19"/>
        <v>2.940000000000001</v>
      </c>
      <c r="Z104" s="667">
        <f t="shared" si="19"/>
        <v>2.940000000000001</v>
      </c>
      <c r="AA104" s="667">
        <f t="shared" si="19"/>
        <v>2.940000000000001</v>
      </c>
      <c r="AB104" s="667">
        <f t="shared" si="19"/>
        <v>2.940000000000001</v>
      </c>
      <c r="AC104" s="667">
        <f t="shared" si="19"/>
        <v>2.940000000000001</v>
      </c>
      <c r="AD104" s="667">
        <f t="shared" si="19"/>
        <v>2.940000000000001</v>
      </c>
      <c r="AE104" s="667">
        <f t="shared" si="19"/>
        <v>2.940000000000001</v>
      </c>
      <c r="AF104" s="668">
        <f t="shared" si="19"/>
        <v>2.940000000000001</v>
      </c>
      <c r="AG104" s="663"/>
      <c r="AH104" s="663"/>
      <c r="AI104" s="420"/>
      <c r="AJ104" s="420"/>
      <c r="AK104" s="420"/>
      <c r="AL104" s="420"/>
      <c r="AM104" s="420"/>
      <c r="AN104" s="420"/>
      <c r="AO104" s="420"/>
      <c r="AP104" s="420"/>
      <c r="AQ104" s="420"/>
      <c r="AR104" s="420"/>
      <c r="AS104" s="420"/>
      <c r="AT104" s="420"/>
      <c r="AU104" s="420"/>
      <c r="AV104" s="420"/>
      <c r="AW104" s="420"/>
      <c r="AX104" s="420"/>
      <c r="AY104" s="420"/>
      <c r="AZ104" s="420"/>
      <c r="BA104" s="420"/>
      <c r="BB104" s="420"/>
      <c r="BC104" s="420"/>
      <c r="BD104" s="420"/>
    </row>
    <row r="105" spans="1:56" ht="18.75">
      <c r="A105" s="628"/>
      <c r="B105" s="662"/>
      <c r="C105" s="604" t="s">
        <v>27</v>
      </c>
      <c r="D105" s="619">
        <f t="shared" si="11"/>
        <v>32.66907031085928</v>
      </c>
      <c r="E105" s="620">
        <f t="shared" si="12"/>
        <v>0</v>
      </c>
      <c r="F105" s="621">
        <f t="shared" si="13"/>
        <v>32.66907031085928</v>
      </c>
      <c r="G105" s="588"/>
      <c r="H105" s="589"/>
      <c r="I105" s="589"/>
      <c r="J105" s="590"/>
      <c r="K105" s="664">
        <f>-K112</f>
        <v>0.5890909090909091</v>
      </c>
      <c r="L105" s="665">
        <f aca="true" t="shared" si="20" ref="L105:AF105">-L112</f>
        <v>0.6362181818181818</v>
      </c>
      <c r="M105" s="665">
        <f t="shared" si="20"/>
        <v>0.6871156363636364</v>
      </c>
      <c r="N105" s="665">
        <f t="shared" si="20"/>
        <v>0.7420848872727274</v>
      </c>
      <c r="O105" s="665">
        <f t="shared" si="20"/>
        <v>0.8014516782545456</v>
      </c>
      <c r="P105" s="665">
        <f t="shared" si="20"/>
        <v>0.8655678125149093</v>
      </c>
      <c r="Q105" s="665">
        <f t="shared" si="20"/>
        <v>0.9348132375161021</v>
      </c>
      <c r="R105" s="665">
        <f t="shared" si="20"/>
        <v>1.0095982965173902</v>
      </c>
      <c r="S105" s="665">
        <f t="shared" si="20"/>
        <v>1.0903661602387815</v>
      </c>
      <c r="T105" s="665">
        <f t="shared" si="20"/>
        <v>1.177595453057884</v>
      </c>
      <c r="U105" s="665">
        <f t="shared" si="20"/>
        <v>1.271803089302515</v>
      </c>
      <c r="V105" s="666">
        <f t="shared" si="20"/>
        <v>1.3735473364467161</v>
      </c>
      <c r="W105" s="665">
        <f t="shared" si="20"/>
        <v>1.4834311233624535</v>
      </c>
      <c r="X105" s="665">
        <f t="shared" si="20"/>
        <v>1.60210561323145</v>
      </c>
      <c r="Y105" s="665">
        <f t="shared" si="20"/>
        <v>1.7302740622899662</v>
      </c>
      <c r="Z105" s="665">
        <f t="shared" si="20"/>
        <v>1.8686959872731634</v>
      </c>
      <c r="AA105" s="665">
        <f t="shared" si="20"/>
        <v>2.0181916662550163</v>
      </c>
      <c r="AB105" s="665">
        <f t="shared" si="20"/>
        <v>2.179646999555418</v>
      </c>
      <c r="AC105" s="665">
        <f t="shared" si="20"/>
        <v>2.354018759519852</v>
      </c>
      <c r="AD105" s="665">
        <f t="shared" si="20"/>
        <v>2.54234026028144</v>
      </c>
      <c r="AE105" s="665">
        <f t="shared" si="20"/>
        <v>2.745727481103955</v>
      </c>
      <c r="AF105" s="666">
        <f t="shared" si="20"/>
        <v>2.9653856795922717</v>
      </c>
      <c r="AG105" s="663"/>
      <c r="AH105" s="663"/>
      <c r="AI105" s="420"/>
      <c r="AJ105" s="420"/>
      <c r="AK105" s="420"/>
      <c r="AL105" s="420"/>
      <c r="AM105" s="420"/>
      <c r="AN105" s="420"/>
      <c r="AO105" s="420"/>
      <c r="AP105" s="420"/>
      <c r="AQ105" s="420"/>
      <c r="AR105" s="420"/>
      <c r="AS105" s="420"/>
      <c r="AT105" s="420"/>
      <c r="AU105" s="420"/>
      <c r="AV105" s="420"/>
      <c r="AW105" s="420"/>
      <c r="AX105" s="420"/>
      <c r="AY105" s="420"/>
      <c r="AZ105" s="420"/>
      <c r="BA105" s="420"/>
      <c r="BB105" s="420"/>
      <c r="BC105" s="420"/>
      <c r="BD105" s="420"/>
    </row>
    <row r="106" spans="1:56" ht="18.75">
      <c r="A106" s="617"/>
      <c r="B106" s="617"/>
      <c r="C106" s="604" t="s">
        <v>10</v>
      </c>
      <c r="D106" s="619">
        <f t="shared" si="11"/>
        <v>131.76525025379914</v>
      </c>
      <c r="E106" s="620">
        <f t="shared" si="12"/>
        <v>0</v>
      </c>
      <c r="F106" s="621">
        <f t="shared" si="13"/>
        <v>131.76525025379914</v>
      </c>
      <c r="G106" s="588"/>
      <c r="H106" s="589"/>
      <c r="I106" s="589"/>
      <c r="J106" s="590"/>
      <c r="K106" s="664">
        <f>-K113</f>
        <v>2.3760000000000003</v>
      </c>
      <c r="L106" s="665">
        <f aca="true" t="shared" si="21" ref="L106:AF106">-L113</f>
        <v>2.5660800000000004</v>
      </c>
      <c r="M106" s="665">
        <f t="shared" si="21"/>
        <v>2.7713664000000007</v>
      </c>
      <c r="N106" s="665">
        <f t="shared" si="21"/>
        <v>2.993075712000001</v>
      </c>
      <c r="O106" s="665">
        <f t="shared" si="21"/>
        <v>3.2325217689600008</v>
      </c>
      <c r="P106" s="665">
        <f t="shared" si="21"/>
        <v>3.4911235104768017</v>
      </c>
      <c r="Q106" s="665">
        <f t="shared" si="21"/>
        <v>3.770413391314946</v>
      </c>
      <c r="R106" s="665">
        <f t="shared" si="21"/>
        <v>4.072046462620142</v>
      </c>
      <c r="S106" s="665">
        <f t="shared" si="21"/>
        <v>4.397810179629753</v>
      </c>
      <c r="T106" s="665">
        <f t="shared" si="21"/>
        <v>4.749634994000133</v>
      </c>
      <c r="U106" s="665">
        <f t="shared" si="21"/>
        <v>5.1296057935201445</v>
      </c>
      <c r="V106" s="666">
        <f t="shared" si="21"/>
        <v>5.539974257001756</v>
      </c>
      <c r="W106" s="665">
        <f t="shared" si="21"/>
        <v>5.983172197561896</v>
      </c>
      <c r="X106" s="665">
        <f t="shared" si="21"/>
        <v>6.4618259733668495</v>
      </c>
      <c r="Y106" s="665">
        <f t="shared" si="21"/>
        <v>6.978772051236198</v>
      </c>
      <c r="Z106" s="665">
        <f t="shared" si="21"/>
        <v>7.537073815335093</v>
      </c>
      <c r="AA106" s="665">
        <f t="shared" si="21"/>
        <v>8.140039720561902</v>
      </c>
      <c r="AB106" s="665">
        <f t="shared" si="21"/>
        <v>8.791242898206853</v>
      </c>
      <c r="AC106" s="665">
        <f t="shared" si="21"/>
        <v>9.494542330063403</v>
      </c>
      <c r="AD106" s="665">
        <f t="shared" si="21"/>
        <v>10.254105716468475</v>
      </c>
      <c r="AE106" s="665">
        <f t="shared" si="21"/>
        <v>11.074434173785953</v>
      </c>
      <c r="AF106" s="666">
        <f t="shared" si="21"/>
        <v>11.96038890768883</v>
      </c>
      <c r="AG106" s="420"/>
      <c r="AH106" s="420"/>
      <c r="AI106" s="420"/>
      <c r="AJ106" s="420"/>
      <c r="AK106" s="420"/>
      <c r="AL106" s="420"/>
      <c r="AM106" s="420"/>
      <c r="AN106" s="420"/>
      <c r="AO106" s="420"/>
      <c r="AP106" s="420"/>
      <c r="AQ106" s="420"/>
      <c r="AR106" s="420"/>
      <c r="AS106" s="420"/>
      <c r="AT106" s="420"/>
      <c r="AU106" s="420"/>
      <c r="AV106" s="420"/>
      <c r="AW106" s="420"/>
      <c r="AX106" s="420"/>
      <c r="AY106" s="420"/>
      <c r="AZ106" s="420"/>
      <c r="BA106" s="420"/>
      <c r="BB106" s="420"/>
      <c r="BC106" s="420"/>
      <c r="BD106" s="420"/>
    </row>
    <row r="107" spans="1:56" ht="18.75">
      <c r="A107" s="617"/>
      <c r="B107" s="617"/>
      <c r="C107" s="604" t="s">
        <v>9</v>
      </c>
      <c r="D107" s="619">
        <f t="shared" si="11"/>
        <v>67.81298604311775</v>
      </c>
      <c r="E107" s="620">
        <f t="shared" si="12"/>
        <v>0</v>
      </c>
      <c r="F107" s="621">
        <f t="shared" si="13"/>
        <v>67.81298604311775</v>
      </c>
      <c r="G107" s="588"/>
      <c r="H107" s="589"/>
      <c r="I107" s="589"/>
      <c r="J107" s="590"/>
      <c r="K107" s="664">
        <f>-K114</f>
        <v>1.2228084000000004</v>
      </c>
      <c r="L107" s="665">
        <f aca="true" t="shared" si="22" ref="L107:AF107">-L114</f>
        <v>1.3206330720000004</v>
      </c>
      <c r="M107" s="665">
        <f t="shared" si="22"/>
        <v>1.4262837177600005</v>
      </c>
      <c r="N107" s="665">
        <f t="shared" si="22"/>
        <v>1.5403864151808007</v>
      </c>
      <c r="O107" s="665">
        <f t="shared" si="22"/>
        <v>1.6636173283952649</v>
      </c>
      <c r="P107" s="665">
        <f t="shared" si="22"/>
        <v>1.7967067146668863</v>
      </c>
      <c r="Q107" s="665">
        <f t="shared" si="22"/>
        <v>1.9404432518402372</v>
      </c>
      <c r="R107" s="665">
        <f t="shared" si="22"/>
        <v>2.095678711987456</v>
      </c>
      <c r="S107" s="665">
        <f t="shared" si="22"/>
        <v>2.2633330089464527</v>
      </c>
      <c r="T107" s="665">
        <f t="shared" si="22"/>
        <v>2.444399649662169</v>
      </c>
      <c r="U107" s="665">
        <f t="shared" si="22"/>
        <v>2.6399516216351424</v>
      </c>
      <c r="V107" s="666">
        <f t="shared" si="22"/>
        <v>2.8511477513659544</v>
      </c>
      <c r="W107" s="665">
        <f t="shared" si="22"/>
        <v>3.0792395714752305</v>
      </c>
      <c r="X107" s="665">
        <f t="shared" si="22"/>
        <v>3.3255787371932497</v>
      </c>
      <c r="Y107" s="665">
        <f t="shared" si="22"/>
        <v>3.59162503616871</v>
      </c>
      <c r="Z107" s="665">
        <f t="shared" si="22"/>
        <v>3.8789550390622067</v>
      </c>
      <c r="AA107" s="665">
        <f t="shared" si="22"/>
        <v>4.1892714421871835</v>
      </c>
      <c r="AB107" s="665">
        <f t="shared" si="22"/>
        <v>4.524413157562158</v>
      </c>
      <c r="AC107" s="665">
        <f t="shared" si="22"/>
        <v>4.8863662101671315</v>
      </c>
      <c r="AD107" s="665">
        <f t="shared" si="22"/>
        <v>5.2772755069805015</v>
      </c>
      <c r="AE107" s="665">
        <f t="shared" si="22"/>
        <v>5.699457547538942</v>
      </c>
      <c r="AF107" s="666">
        <f t="shared" si="22"/>
        <v>6.155414151342058</v>
      </c>
      <c r="AG107" s="420"/>
      <c r="AH107" s="420"/>
      <c r="AI107" s="420"/>
      <c r="AJ107" s="420"/>
      <c r="AK107" s="420"/>
      <c r="AL107" s="420"/>
      <c r="AM107" s="420"/>
      <c r="AN107" s="420"/>
      <c r="AO107" s="420"/>
      <c r="AP107" s="420"/>
      <c r="AQ107" s="420"/>
      <c r="AR107" s="420"/>
      <c r="AS107" s="420"/>
      <c r="AT107" s="420"/>
      <c r="AU107" s="420"/>
      <c r="AV107" s="420"/>
      <c r="AW107" s="420"/>
      <c r="AX107" s="420"/>
      <c r="AY107" s="420"/>
      <c r="AZ107" s="420"/>
      <c r="BA107" s="420"/>
      <c r="BB107" s="420"/>
      <c r="BC107" s="420"/>
      <c r="BD107" s="420"/>
    </row>
    <row r="108" spans="1:56" ht="18.75">
      <c r="A108" s="617"/>
      <c r="B108" s="617"/>
      <c r="C108" s="669"/>
      <c r="D108" s="588"/>
      <c r="E108" s="589"/>
      <c r="F108" s="590"/>
      <c r="G108" s="588"/>
      <c r="H108" s="589"/>
      <c r="I108" s="589"/>
      <c r="J108" s="590"/>
      <c r="K108" s="588"/>
      <c r="L108" s="589"/>
      <c r="M108" s="589"/>
      <c r="N108" s="589"/>
      <c r="O108" s="589"/>
      <c r="P108" s="589"/>
      <c r="Q108" s="589"/>
      <c r="R108" s="589"/>
      <c r="S108" s="589"/>
      <c r="T108" s="589"/>
      <c r="U108" s="589"/>
      <c r="V108" s="590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90"/>
      <c r="AG108" s="420"/>
      <c r="AH108" s="420"/>
      <c r="AI108" s="420"/>
      <c r="AJ108" s="420"/>
      <c r="AK108" s="420"/>
      <c r="AL108" s="420"/>
      <c r="AM108" s="420"/>
      <c r="AN108" s="420"/>
      <c r="AO108" s="420"/>
      <c r="AP108" s="420"/>
      <c r="AQ108" s="420"/>
      <c r="AR108" s="420"/>
      <c r="AS108" s="420"/>
      <c r="AT108" s="420"/>
      <c r="AU108" s="420"/>
      <c r="AV108" s="420"/>
      <c r="AW108" s="420"/>
      <c r="AX108" s="420"/>
      <c r="AY108" s="420"/>
      <c r="AZ108" s="420"/>
      <c r="BA108" s="420"/>
      <c r="BB108" s="420"/>
      <c r="BC108" s="420"/>
      <c r="BD108" s="420"/>
    </row>
    <row r="109" spans="1:56" s="9" customFormat="1" ht="18.75">
      <c r="A109" s="561"/>
      <c r="B109" s="561"/>
      <c r="C109" s="501" t="s">
        <v>20</v>
      </c>
      <c r="D109" s="608">
        <f aca="true" t="shared" si="23" ref="D109:D114">SUM(G109:AF109)</f>
        <v>-404.2373066077762</v>
      </c>
      <c r="E109" s="609">
        <f aca="true" t="shared" si="24" ref="E109:E114">SUM(G109:J109)</f>
        <v>0</v>
      </c>
      <c r="F109" s="610">
        <f aca="true" t="shared" si="25" ref="F109:F114">SUM(K109:AF109)</f>
        <v>-404.2373066077762</v>
      </c>
      <c r="G109" s="656"/>
      <c r="H109" s="657"/>
      <c r="I109" s="657"/>
      <c r="J109" s="658"/>
      <c r="K109" s="659">
        <f aca="true" t="shared" si="26" ref="K109:AF109">SUM(K110:K114)</f>
        <v>-22.562899309090913</v>
      </c>
      <c r="L109" s="660">
        <f t="shared" si="26"/>
        <v>-22.162931253818183</v>
      </c>
      <c r="M109" s="660">
        <f t="shared" si="26"/>
        <v>-21.78976575412364</v>
      </c>
      <c r="N109" s="660">
        <f t="shared" si="26"/>
        <v>-21.44554701445353</v>
      </c>
      <c r="O109" s="660">
        <f t="shared" si="26"/>
        <v>-21.13259077560981</v>
      </c>
      <c r="P109" s="660">
        <f t="shared" si="26"/>
        <v>-20.853398037658597</v>
      </c>
      <c r="Q109" s="660">
        <f t="shared" si="26"/>
        <v>-20.610669880671285</v>
      </c>
      <c r="R109" s="660">
        <f t="shared" si="26"/>
        <v>-20.40732347112499</v>
      </c>
      <c r="S109" s="660">
        <f t="shared" si="26"/>
        <v>-20.24650934881499</v>
      </c>
      <c r="T109" s="660">
        <f t="shared" si="26"/>
        <v>-20.131630096720187</v>
      </c>
      <c r="U109" s="660">
        <f t="shared" si="26"/>
        <v>-20.0663605044578</v>
      </c>
      <c r="V109" s="661">
        <f t="shared" si="26"/>
        <v>-20.054669344814425</v>
      </c>
      <c r="W109" s="660">
        <f t="shared" si="26"/>
        <v>-10.54584289239958</v>
      </c>
      <c r="X109" s="660">
        <f t="shared" si="26"/>
        <v>-11.389510323791548</v>
      </c>
      <c r="Y109" s="660">
        <f t="shared" si="26"/>
        <v>-12.300671149694873</v>
      </c>
      <c r="Z109" s="660">
        <f t="shared" si="26"/>
        <v>-13.284724841670464</v>
      </c>
      <c r="AA109" s="660">
        <f t="shared" si="26"/>
        <v>-14.347502829004103</v>
      </c>
      <c r="AB109" s="660">
        <f t="shared" si="26"/>
        <v>-15.49530305532443</v>
      </c>
      <c r="AC109" s="660">
        <f t="shared" si="26"/>
        <v>-16.734927299750385</v>
      </c>
      <c r="AD109" s="660">
        <f t="shared" si="26"/>
        <v>-18.073721483730417</v>
      </c>
      <c r="AE109" s="660">
        <f t="shared" si="26"/>
        <v>-19.51961920242885</v>
      </c>
      <c r="AF109" s="661">
        <f t="shared" si="26"/>
        <v>-21.081188738623162</v>
      </c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4"/>
      <c r="AR109" s="454"/>
      <c r="AS109" s="454"/>
      <c r="AT109" s="454"/>
      <c r="AU109" s="454"/>
      <c r="AV109" s="454"/>
      <c r="AW109" s="454"/>
      <c r="AX109" s="454"/>
      <c r="AY109" s="454"/>
      <c r="AZ109" s="454"/>
      <c r="BA109" s="454"/>
      <c r="BB109" s="454"/>
      <c r="BC109" s="454"/>
      <c r="BD109" s="454"/>
    </row>
    <row r="110" spans="1:56" ht="18.75">
      <c r="A110" s="617"/>
      <c r="B110" s="617"/>
      <c r="C110" s="604" t="s">
        <v>52</v>
      </c>
      <c r="D110" s="619">
        <f t="shared" si="23"/>
        <v>-88.19999999999999</v>
      </c>
      <c r="E110" s="620">
        <f t="shared" si="24"/>
        <v>0</v>
      </c>
      <c r="F110" s="621">
        <f t="shared" si="25"/>
        <v>-88.19999999999999</v>
      </c>
      <c r="G110" s="653"/>
      <c r="H110" s="654"/>
      <c r="I110" s="654"/>
      <c r="J110" s="655"/>
      <c r="K110" s="664">
        <f aca="true" t="shared" si="27" ref="K110:V110">-$D$24/$D$21</f>
        <v>-7.35</v>
      </c>
      <c r="L110" s="665">
        <f t="shared" si="27"/>
        <v>-7.35</v>
      </c>
      <c r="M110" s="665">
        <f t="shared" si="27"/>
        <v>-7.35</v>
      </c>
      <c r="N110" s="665">
        <f t="shared" si="27"/>
        <v>-7.35</v>
      </c>
      <c r="O110" s="665">
        <f t="shared" si="27"/>
        <v>-7.35</v>
      </c>
      <c r="P110" s="665">
        <f t="shared" si="27"/>
        <v>-7.35</v>
      </c>
      <c r="Q110" s="665">
        <f t="shared" si="27"/>
        <v>-7.35</v>
      </c>
      <c r="R110" s="665">
        <f t="shared" si="27"/>
        <v>-7.35</v>
      </c>
      <c r="S110" s="665">
        <f t="shared" si="27"/>
        <v>-7.35</v>
      </c>
      <c r="T110" s="665">
        <f t="shared" si="27"/>
        <v>-7.35</v>
      </c>
      <c r="U110" s="665">
        <f t="shared" si="27"/>
        <v>-7.35</v>
      </c>
      <c r="V110" s="666">
        <f t="shared" si="27"/>
        <v>-7.35</v>
      </c>
      <c r="W110" s="654"/>
      <c r="X110" s="654"/>
      <c r="Y110" s="654"/>
      <c r="Z110" s="654"/>
      <c r="AA110" s="654"/>
      <c r="AB110" s="654"/>
      <c r="AC110" s="654"/>
      <c r="AD110" s="654"/>
      <c r="AE110" s="654"/>
      <c r="AF110" s="655"/>
      <c r="AG110" s="420"/>
      <c r="AH110" s="420"/>
      <c r="AI110" s="420"/>
      <c r="AJ110" s="420"/>
      <c r="AK110" s="420"/>
      <c r="AL110" s="420"/>
      <c r="AM110" s="420"/>
      <c r="AN110" s="420"/>
      <c r="AO110" s="420"/>
      <c r="AP110" s="420"/>
      <c r="AQ110" s="420"/>
      <c r="AR110" s="420"/>
      <c r="AS110" s="420"/>
      <c r="AT110" s="420"/>
      <c r="AU110" s="420"/>
      <c r="AV110" s="420"/>
      <c r="AW110" s="420"/>
      <c r="AX110" s="420"/>
      <c r="AY110" s="420"/>
      <c r="AZ110" s="420"/>
      <c r="BA110" s="420"/>
      <c r="BB110" s="420"/>
      <c r="BC110" s="420"/>
      <c r="BD110" s="420"/>
    </row>
    <row r="111" spans="1:56" ht="18.75">
      <c r="A111" s="628"/>
      <c r="B111" s="617"/>
      <c r="C111" s="604" t="s">
        <v>53</v>
      </c>
      <c r="D111" s="619">
        <f t="shared" si="23"/>
        <v>-83.78999999999999</v>
      </c>
      <c r="E111" s="620">
        <f t="shared" si="24"/>
        <v>0</v>
      </c>
      <c r="F111" s="621">
        <f t="shared" si="25"/>
        <v>-83.78999999999999</v>
      </c>
      <c r="G111" s="653"/>
      <c r="H111" s="654"/>
      <c r="I111" s="654"/>
      <c r="J111" s="655"/>
      <c r="K111" s="664">
        <f>-$D$24*$D$20</f>
        <v>-11.025</v>
      </c>
      <c r="L111" s="665">
        <f>(-$D$24-SUM($K110:K110))*$D$20</f>
        <v>-10.290000000000001</v>
      </c>
      <c r="M111" s="665">
        <f>(-$D$24-SUM($K110:L110))*$D$20</f>
        <v>-9.555</v>
      </c>
      <c r="N111" s="665">
        <f>(-$D$24-SUM($K110:M110))*$D$20</f>
        <v>-8.82</v>
      </c>
      <c r="O111" s="665">
        <f>(-$D$24-SUM($K110:N110))*$D$20</f>
        <v>-8.084999999999999</v>
      </c>
      <c r="P111" s="665">
        <f>(-$D$24-SUM($K110:O110))*$D$20</f>
        <v>-7.3500000000000005</v>
      </c>
      <c r="Q111" s="665">
        <f>(-$D$24-SUM($K110:P110))*$D$20</f>
        <v>-6.615000000000001</v>
      </c>
      <c r="R111" s="665">
        <f>(-$D$24-SUM($K110:Q110))*$D$20</f>
        <v>-5.88</v>
      </c>
      <c r="S111" s="665">
        <f>(-$D$24-SUM($K110:R110))*$D$20</f>
        <v>-5.145</v>
      </c>
      <c r="T111" s="665">
        <f>(-$D$24-SUM($K110:S110))*$D$20</f>
        <v>-4.409999999999999</v>
      </c>
      <c r="U111" s="665">
        <f>(-$D$24-SUM($K110:T110))*$D$20</f>
        <v>-3.6750000000000003</v>
      </c>
      <c r="V111" s="666">
        <f>(-$D$24-SUM($K110:U110))*$D$20</f>
        <v>-2.940000000000001</v>
      </c>
      <c r="W111" s="654"/>
      <c r="X111" s="654"/>
      <c r="Y111" s="654"/>
      <c r="Z111" s="654"/>
      <c r="AA111" s="654"/>
      <c r="AB111" s="654"/>
      <c r="AC111" s="654"/>
      <c r="AD111" s="654"/>
      <c r="AE111" s="654"/>
      <c r="AF111" s="655"/>
      <c r="AG111" s="420"/>
      <c r="AH111" s="420"/>
      <c r="AI111" s="420"/>
      <c r="AJ111" s="420"/>
      <c r="AK111" s="420"/>
      <c r="AL111" s="420"/>
      <c r="AM111" s="420"/>
      <c r="AN111" s="420"/>
      <c r="AO111" s="420"/>
      <c r="AP111" s="420"/>
      <c r="AQ111" s="420"/>
      <c r="AR111" s="420"/>
      <c r="AS111" s="420"/>
      <c r="AT111" s="420"/>
      <c r="AU111" s="420"/>
      <c r="AV111" s="420"/>
      <c r="AW111" s="420"/>
      <c r="AX111" s="420"/>
      <c r="AY111" s="420"/>
      <c r="AZ111" s="420"/>
      <c r="BA111" s="420"/>
      <c r="BB111" s="420"/>
      <c r="BC111" s="420"/>
      <c r="BD111" s="420"/>
    </row>
    <row r="112" spans="1:56" ht="18.75">
      <c r="A112" s="628"/>
      <c r="B112" s="662"/>
      <c r="C112" s="618" t="s">
        <v>113</v>
      </c>
      <c r="D112" s="619">
        <f t="shared" si="23"/>
        <v>-32.66907031085928</v>
      </c>
      <c r="E112" s="620">
        <f t="shared" si="24"/>
        <v>0</v>
      </c>
      <c r="F112" s="621">
        <f t="shared" si="25"/>
        <v>-32.66907031085928</v>
      </c>
      <c r="G112" s="653"/>
      <c r="H112" s="654"/>
      <c r="I112" s="654"/>
      <c r="J112" s="655"/>
      <c r="K112" s="664">
        <f aca="true" t="shared" si="28" ref="K112:AF112">-K43*K82</f>
        <v>-0.5890909090909091</v>
      </c>
      <c r="L112" s="665">
        <f t="shared" si="28"/>
        <v>-0.6362181818181818</v>
      </c>
      <c r="M112" s="665">
        <f t="shared" si="28"/>
        <v>-0.6871156363636364</v>
      </c>
      <c r="N112" s="665">
        <f t="shared" si="28"/>
        <v>-0.7420848872727274</v>
      </c>
      <c r="O112" s="665">
        <f t="shared" si="28"/>
        <v>-0.8014516782545456</v>
      </c>
      <c r="P112" s="665">
        <f t="shared" si="28"/>
        <v>-0.8655678125149093</v>
      </c>
      <c r="Q112" s="665">
        <f t="shared" si="28"/>
        <v>-0.9348132375161021</v>
      </c>
      <c r="R112" s="665">
        <f t="shared" si="28"/>
        <v>-1.0095982965173902</v>
      </c>
      <c r="S112" s="665">
        <f t="shared" si="28"/>
        <v>-1.0903661602387815</v>
      </c>
      <c r="T112" s="665">
        <f t="shared" si="28"/>
        <v>-1.177595453057884</v>
      </c>
      <c r="U112" s="665">
        <f t="shared" si="28"/>
        <v>-1.271803089302515</v>
      </c>
      <c r="V112" s="666">
        <f t="shared" si="28"/>
        <v>-1.3735473364467161</v>
      </c>
      <c r="W112" s="665">
        <f t="shared" si="28"/>
        <v>-1.4834311233624535</v>
      </c>
      <c r="X112" s="665">
        <f t="shared" si="28"/>
        <v>-1.60210561323145</v>
      </c>
      <c r="Y112" s="665">
        <f t="shared" si="28"/>
        <v>-1.7302740622899662</v>
      </c>
      <c r="Z112" s="665">
        <f t="shared" si="28"/>
        <v>-1.8686959872731634</v>
      </c>
      <c r="AA112" s="665">
        <f t="shared" si="28"/>
        <v>-2.0181916662550163</v>
      </c>
      <c r="AB112" s="665">
        <f t="shared" si="28"/>
        <v>-2.179646999555418</v>
      </c>
      <c r="AC112" s="665">
        <f t="shared" si="28"/>
        <v>-2.354018759519852</v>
      </c>
      <c r="AD112" s="665">
        <f t="shared" si="28"/>
        <v>-2.54234026028144</v>
      </c>
      <c r="AE112" s="665">
        <f t="shared" si="28"/>
        <v>-2.745727481103955</v>
      </c>
      <c r="AF112" s="666">
        <f t="shared" si="28"/>
        <v>-2.9653856795922717</v>
      </c>
      <c r="AG112" s="420"/>
      <c r="AH112" s="420"/>
      <c r="AI112" s="420"/>
      <c r="AJ112" s="420"/>
      <c r="AK112" s="420"/>
      <c r="AL112" s="420"/>
      <c r="AM112" s="420"/>
      <c r="AN112" s="420"/>
      <c r="AO112" s="420"/>
      <c r="AP112" s="420"/>
      <c r="AQ112" s="420"/>
      <c r="AR112" s="420"/>
      <c r="AS112" s="420"/>
      <c r="AT112" s="420"/>
      <c r="AU112" s="420"/>
      <c r="AV112" s="420"/>
      <c r="AW112" s="420"/>
      <c r="AX112" s="420"/>
      <c r="AY112" s="420"/>
      <c r="AZ112" s="420"/>
      <c r="BA112" s="420"/>
      <c r="BB112" s="420"/>
      <c r="BC112" s="420"/>
      <c r="BD112" s="420"/>
    </row>
    <row r="113" spans="1:56" ht="18.75">
      <c r="A113" s="617"/>
      <c r="B113" s="617"/>
      <c r="C113" s="604" t="s">
        <v>58</v>
      </c>
      <c r="D113" s="619">
        <f t="shared" si="23"/>
        <v>-131.76525025379914</v>
      </c>
      <c r="E113" s="620">
        <f t="shared" si="24"/>
        <v>0</v>
      </c>
      <c r="F113" s="621">
        <f t="shared" si="25"/>
        <v>-131.76525025379914</v>
      </c>
      <c r="G113" s="653"/>
      <c r="H113" s="654"/>
      <c r="I113" s="654"/>
      <c r="J113" s="655"/>
      <c r="K113" s="664">
        <f aca="true" t="shared" si="29" ref="K113:AF113">-$D$35*(1+$D$39)*K82</f>
        <v>-2.3760000000000003</v>
      </c>
      <c r="L113" s="665">
        <f t="shared" si="29"/>
        <v>-2.5660800000000004</v>
      </c>
      <c r="M113" s="665">
        <f t="shared" si="29"/>
        <v>-2.7713664000000007</v>
      </c>
      <c r="N113" s="665">
        <f t="shared" si="29"/>
        <v>-2.993075712000001</v>
      </c>
      <c r="O113" s="665">
        <f t="shared" si="29"/>
        <v>-3.2325217689600008</v>
      </c>
      <c r="P113" s="665">
        <f t="shared" si="29"/>
        <v>-3.4911235104768017</v>
      </c>
      <c r="Q113" s="665">
        <f t="shared" si="29"/>
        <v>-3.770413391314946</v>
      </c>
      <c r="R113" s="665">
        <f t="shared" si="29"/>
        <v>-4.072046462620142</v>
      </c>
      <c r="S113" s="665">
        <f t="shared" si="29"/>
        <v>-4.397810179629753</v>
      </c>
      <c r="T113" s="665">
        <f t="shared" si="29"/>
        <v>-4.749634994000133</v>
      </c>
      <c r="U113" s="665">
        <f t="shared" si="29"/>
        <v>-5.1296057935201445</v>
      </c>
      <c r="V113" s="666">
        <f t="shared" si="29"/>
        <v>-5.539974257001756</v>
      </c>
      <c r="W113" s="665">
        <f t="shared" si="29"/>
        <v>-5.983172197561896</v>
      </c>
      <c r="X113" s="665">
        <f t="shared" si="29"/>
        <v>-6.4618259733668495</v>
      </c>
      <c r="Y113" s="665">
        <f t="shared" si="29"/>
        <v>-6.978772051236198</v>
      </c>
      <c r="Z113" s="665">
        <f t="shared" si="29"/>
        <v>-7.537073815335093</v>
      </c>
      <c r="AA113" s="665">
        <f t="shared" si="29"/>
        <v>-8.140039720561902</v>
      </c>
      <c r="AB113" s="665">
        <f t="shared" si="29"/>
        <v>-8.791242898206853</v>
      </c>
      <c r="AC113" s="665">
        <f t="shared" si="29"/>
        <v>-9.494542330063403</v>
      </c>
      <c r="AD113" s="665">
        <f t="shared" si="29"/>
        <v>-10.254105716468475</v>
      </c>
      <c r="AE113" s="665">
        <f t="shared" si="29"/>
        <v>-11.074434173785953</v>
      </c>
      <c r="AF113" s="666">
        <f t="shared" si="29"/>
        <v>-11.96038890768883</v>
      </c>
      <c r="AG113" s="420"/>
      <c r="AH113" s="420"/>
      <c r="AI113" s="420"/>
      <c r="AJ113" s="420"/>
      <c r="AK113" s="420"/>
      <c r="AL113" s="420"/>
      <c r="AM113" s="420"/>
      <c r="AN113" s="420"/>
      <c r="AO113" s="420"/>
      <c r="AP113" s="420"/>
      <c r="AQ113" s="420"/>
      <c r="AR113" s="420"/>
      <c r="AS113" s="420"/>
      <c r="AT113" s="420"/>
      <c r="AU113" s="420"/>
      <c r="AV113" s="420"/>
      <c r="AW113" s="420"/>
      <c r="AX113" s="420"/>
      <c r="AY113" s="420"/>
      <c r="AZ113" s="420"/>
      <c r="BA113" s="420"/>
      <c r="BB113" s="420"/>
      <c r="BC113" s="420"/>
      <c r="BD113" s="420"/>
    </row>
    <row r="114" spans="1:56" ht="18.75">
      <c r="A114" s="617"/>
      <c r="B114" s="617"/>
      <c r="C114" s="604" t="s">
        <v>59</v>
      </c>
      <c r="D114" s="619">
        <f t="shared" si="23"/>
        <v>-67.81298604311775</v>
      </c>
      <c r="E114" s="620">
        <f t="shared" si="24"/>
        <v>0</v>
      </c>
      <c r="F114" s="621">
        <f t="shared" si="25"/>
        <v>-67.81298604311775</v>
      </c>
      <c r="G114" s="653"/>
      <c r="H114" s="654"/>
      <c r="I114" s="654"/>
      <c r="J114" s="655"/>
      <c r="K114" s="664">
        <f aca="true" t="shared" si="30" ref="K114:AF114">-(1+$D$39)*K38*K82</f>
        <v>-1.2228084000000004</v>
      </c>
      <c r="L114" s="665">
        <f t="shared" si="30"/>
        <v>-1.3206330720000004</v>
      </c>
      <c r="M114" s="665">
        <f t="shared" si="30"/>
        <v>-1.4262837177600005</v>
      </c>
      <c r="N114" s="665">
        <f t="shared" si="30"/>
        <v>-1.5403864151808007</v>
      </c>
      <c r="O114" s="665">
        <f t="shared" si="30"/>
        <v>-1.6636173283952649</v>
      </c>
      <c r="P114" s="665">
        <f t="shared" si="30"/>
        <v>-1.7967067146668863</v>
      </c>
      <c r="Q114" s="665">
        <f t="shared" si="30"/>
        <v>-1.9404432518402372</v>
      </c>
      <c r="R114" s="665">
        <f t="shared" si="30"/>
        <v>-2.095678711987456</v>
      </c>
      <c r="S114" s="665">
        <f t="shared" si="30"/>
        <v>-2.2633330089464527</v>
      </c>
      <c r="T114" s="665">
        <f t="shared" si="30"/>
        <v>-2.444399649662169</v>
      </c>
      <c r="U114" s="665">
        <f t="shared" si="30"/>
        <v>-2.6399516216351424</v>
      </c>
      <c r="V114" s="666">
        <f t="shared" si="30"/>
        <v>-2.8511477513659544</v>
      </c>
      <c r="W114" s="665">
        <f t="shared" si="30"/>
        <v>-3.0792395714752305</v>
      </c>
      <c r="X114" s="665">
        <f t="shared" si="30"/>
        <v>-3.3255787371932497</v>
      </c>
      <c r="Y114" s="665">
        <f t="shared" si="30"/>
        <v>-3.59162503616871</v>
      </c>
      <c r="Z114" s="665">
        <f t="shared" si="30"/>
        <v>-3.8789550390622067</v>
      </c>
      <c r="AA114" s="665">
        <f t="shared" si="30"/>
        <v>-4.1892714421871835</v>
      </c>
      <c r="AB114" s="665">
        <f t="shared" si="30"/>
        <v>-4.524413157562158</v>
      </c>
      <c r="AC114" s="665">
        <f t="shared" si="30"/>
        <v>-4.8863662101671315</v>
      </c>
      <c r="AD114" s="665">
        <f t="shared" si="30"/>
        <v>-5.2772755069805015</v>
      </c>
      <c r="AE114" s="665">
        <f t="shared" si="30"/>
        <v>-5.699457547538942</v>
      </c>
      <c r="AF114" s="666">
        <f t="shared" si="30"/>
        <v>-6.155414151342058</v>
      </c>
      <c r="AG114" s="420"/>
      <c r="AH114" s="420"/>
      <c r="AI114" s="420"/>
      <c r="AJ114" s="420"/>
      <c r="AK114" s="420"/>
      <c r="AL114" s="420"/>
      <c r="AM114" s="420"/>
      <c r="AN114" s="420"/>
      <c r="AO114" s="420"/>
      <c r="AP114" s="420"/>
      <c r="AQ114" s="420"/>
      <c r="AR114" s="420"/>
      <c r="AS114" s="420"/>
      <c r="AT114" s="420"/>
      <c r="AU114" s="420"/>
      <c r="AV114" s="420"/>
      <c r="AW114" s="420"/>
      <c r="AX114" s="420"/>
      <c r="AY114" s="420"/>
      <c r="AZ114" s="420"/>
      <c r="BA114" s="420"/>
      <c r="BB114" s="420"/>
      <c r="BC114" s="420"/>
      <c r="BD114" s="420"/>
    </row>
    <row r="115" spans="1:56" ht="19.5" thickBot="1">
      <c r="A115" s="670"/>
      <c r="B115" s="670"/>
      <c r="C115" s="671"/>
      <c r="D115" s="672"/>
      <c r="E115" s="673"/>
      <c r="F115" s="674"/>
      <c r="G115" s="672"/>
      <c r="H115" s="673"/>
      <c r="I115" s="673"/>
      <c r="J115" s="674"/>
      <c r="K115" s="672"/>
      <c r="L115" s="673"/>
      <c r="M115" s="673"/>
      <c r="N115" s="673"/>
      <c r="O115" s="673"/>
      <c r="P115" s="673"/>
      <c r="Q115" s="673"/>
      <c r="R115" s="673"/>
      <c r="S115" s="673"/>
      <c r="T115" s="673"/>
      <c r="U115" s="673"/>
      <c r="V115" s="674"/>
      <c r="W115" s="673"/>
      <c r="X115" s="673"/>
      <c r="Y115" s="673"/>
      <c r="Z115" s="673"/>
      <c r="AA115" s="673"/>
      <c r="AB115" s="673"/>
      <c r="AC115" s="673"/>
      <c r="AD115" s="673"/>
      <c r="AE115" s="673"/>
      <c r="AF115" s="674"/>
      <c r="AG115" s="420"/>
      <c r="AH115" s="420"/>
      <c r="AI115" s="420"/>
      <c r="AJ115" s="420"/>
      <c r="AK115" s="420"/>
      <c r="AL115" s="420"/>
      <c r="AM115" s="420"/>
      <c r="AN115" s="420"/>
      <c r="AO115" s="420"/>
      <c r="AP115" s="420"/>
      <c r="AQ115" s="420"/>
      <c r="AR115" s="420"/>
      <c r="AS115" s="420"/>
      <c r="AT115" s="420"/>
      <c r="AU115" s="420"/>
      <c r="AV115" s="420"/>
      <c r="AW115" s="420"/>
      <c r="AX115" s="420"/>
      <c r="AY115" s="420"/>
      <c r="AZ115" s="420"/>
      <c r="BA115" s="420"/>
      <c r="BB115" s="420"/>
      <c r="BC115" s="420"/>
      <c r="BD115" s="420"/>
    </row>
    <row r="116" spans="1:56" ht="18.75">
      <c r="A116" s="617"/>
      <c r="B116" s="617"/>
      <c r="C116" s="675"/>
      <c r="D116" s="676"/>
      <c r="E116" s="677"/>
      <c r="F116" s="678"/>
      <c r="G116" s="679"/>
      <c r="H116" s="680"/>
      <c r="I116" s="680"/>
      <c r="J116" s="681"/>
      <c r="K116" s="679"/>
      <c r="L116" s="680"/>
      <c r="M116" s="680"/>
      <c r="N116" s="680"/>
      <c r="O116" s="680"/>
      <c r="P116" s="680"/>
      <c r="Q116" s="680"/>
      <c r="R116" s="680"/>
      <c r="S116" s="680"/>
      <c r="T116" s="680"/>
      <c r="U116" s="680"/>
      <c r="V116" s="681"/>
      <c r="W116" s="680"/>
      <c r="X116" s="680"/>
      <c r="Y116" s="680"/>
      <c r="Z116" s="680"/>
      <c r="AA116" s="680"/>
      <c r="AB116" s="680"/>
      <c r="AC116" s="680"/>
      <c r="AD116" s="680"/>
      <c r="AE116" s="680"/>
      <c r="AF116" s="681"/>
      <c r="AG116" s="420"/>
      <c r="AH116" s="420"/>
      <c r="AI116" s="420"/>
      <c r="AJ116" s="420"/>
      <c r="AK116" s="420"/>
      <c r="AL116" s="420"/>
      <c r="AM116" s="420"/>
      <c r="AN116" s="420"/>
      <c r="AO116" s="420"/>
      <c r="AP116" s="420"/>
      <c r="AQ116" s="420"/>
      <c r="AR116" s="420"/>
      <c r="AS116" s="420"/>
      <c r="AT116" s="420"/>
      <c r="AU116" s="420"/>
      <c r="AV116" s="420"/>
      <c r="AW116" s="420"/>
      <c r="AX116" s="420"/>
      <c r="AY116" s="420"/>
      <c r="AZ116" s="420"/>
      <c r="BA116" s="420"/>
      <c r="BB116" s="420"/>
      <c r="BC116" s="420"/>
      <c r="BD116" s="420"/>
    </row>
    <row r="117" spans="1:56" ht="18.75">
      <c r="A117" s="617"/>
      <c r="B117" s="617"/>
      <c r="C117" s="1066" t="s">
        <v>11</v>
      </c>
      <c r="D117" s="608"/>
      <c r="E117" s="609"/>
      <c r="F117" s="610"/>
      <c r="G117" s="588" t="s">
        <v>109</v>
      </c>
      <c r="H117" s="589"/>
      <c r="I117" s="589"/>
      <c r="J117" s="590"/>
      <c r="K117" s="622">
        <f>K101+K109</f>
        <v>1.8181818181818201</v>
      </c>
      <c r="L117" s="623">
        <f aca="true" t="shared" si="31" ref="L117:AF117">L101+L109</f>
        <v>1.8181818181818201</v>
      </c>
      <c r="M117" s="623">
        <f t="shared" si="31"/>
        <v>1.8181818181818166</v>
      </c>
      <c r="N117" s="623">
        <f t="shared" si="31"/>
        <v>1.8181818181818166</v>
      </c>
      <c r="O117" s="623">
        <f t="shared" si="31"/>
        <v>1.8181818181818166</v>
      </c>
      <c r="P117" s="623">
        <f t="shared" si="31"/>
        <v>1.8181818181818201</v>
      </c>
      <c r="Q117" s="623">
        <f t="shared" si="31"/>
        <v>1.8181818181818201</v>
      </c>
      <c r="R117" s="623">
        <f t="shared" si="31"/>
        <v>1.8181818181818166</v>
      </c>
      <c r="S117" s="623">
        <f t="shared" si="31"/>
        <v>1.8181818181818166</v>
      </c>
      <c r="T117" s="623">
        <f t="shared" si="31"/>
        <v>1.8181818181818201</v>
      </c>
      <c r="U117" s="623">
        <f t="shared" si="31"/>
        <v>1.8181818181818201</v>
      </c>
      <c r="V117" s="624">
        <f t="shared" si="31"/>
        <v>1.8181818181818201</v>
      </c>
      <c r="W117" s="623">
        <f t="shared" si="31"/>
        <v>12.10818181818182</v>
      </c>
      <c r="X117" s="623">
        <f t="shared" si="31"/>
        <v>12.108181818181823</v>
      </c>
      <c r="Y117" s="623">
        <f t="shared" si="31"/>
        <v>12.108181818181821</v>
      </c>
      <c r="Z117" s="623">
        <f t="shared" si="31"/>
        <v>12.108181818181816</v>
      </c>
      <c r="AA117" s="623">
        <f t="shared" si="31"/>
        <v>12.10818181818182</v>
      </c>
      <c r="AB117" s="623">
        <f t="shared" si="31"/>
        <v>12.108181818181817</v>
      </c>
      <c r="AC117" s="623">
        <f t="shared" si="31"/>
        <v>12.108181818181823</v>
      </c>
      <c r="AD117" s="623">
        <f t="shared" si="31"/>
        <v>12.10818181818182</v>
      </c>
      <c r="AE117" s="623">
        <f t="shared" si="31"/>
        <v>12.10818181818182</v>
      </c>
      <c r="AF117" s="623">
        <f t="shared" si="31"/>
        <v>12.10818181818182</v>
      </c>
      <c r="AG117" s="663"/>
      <c r="AH117" s="663"/>
      <c r="AI117" s="663"/>
      <c r="AJ117" s="420"/>
      <c r="AK117" s="420"/>
      <c r="AL117" s="420"/>
      <c r="AM117" s="420"/>
      <c r="AN117" s="420"/>
      <c r="AO117" s="420"/>
      <c r="AP117" s="420"/>
      <c r="AQ117" s="420"/>
      <c r="AR117" s="420"/>
      <c r="AS117" s="420"/>
      <c r="AT117" s="420"/>
      <c r="AU117" s="420"/>
      <c r="AV117" s="420"/>
      <c r="AW117" s="420"/>
      <c r="AX117" s="420"/>
      <c r="AY117" s="420"/>
      <c r="AZ117" s="420"/>
      <c r="BA117" s="420"/>
      <c r="BB117" s="420"/>
      <c r="BC117" s="420"/>
      <c r="BD117" s="420"/>
    </row>
    <row r="118" spans="1:56" ht="18.75">
      <c r="A118" s="617"/>
      <c r="B118" s="617"/>
      <c r="C118" s="652"/>
      <c r="D118" s="608"/>
      <c r="E118" s="609"/>
      <c r="F118" s="610"/>
      <c r="G118" s="588"/>
      <c r="H118" s="589"/>
      <c r="I118" s="589"/>
      <c r="J118" s="590"/>
      <c r="K118" s="588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90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90"/>
      <c r="AG118" s="663"/>
      <c r="AH118" s="663"/>
      <c r="AI118" s="663"/>
      <c r="AJ118" s="420"/>
      <c r="AK118" s="420"/>
      <c r="AL118" s="420"/>
      <c r="AM118" s="420"/>
      <c r="AN118" s="420"/>
      <c r="AO118" s="420"/>
      <c r="AP118" s="420"/>
      <c r="AQ118" s="420"/>
      <c r="AR118" s="420"/>
      <c r="AS118" s="420"/>
      <c r="AT118" s="420"/>
      <c r="AU118" s="420"/>
      <c r="AV118" s="420"/>
      <c r="AW118" s="420"/>
      <c r="AX118" s="420"/>
      <c r="AY118" s="420"/>
      <c r="AZ118" s="420"/>
      <c r="BA118" s="420"/>
      <c r="BB118" s="420"/>
      <c r="BC118" s="420"/>
      <c r="BD118" s="420"/>
    </row>
    <row r="119" spans="1:56" ht="18.75">
      <c r="A119" s="628"/>
      <c r="B119" s="617"/>
      <c r="C119" s="652" t="s">
        <v>12</v>
      </c>
      <c r="D119" s="608"/>
      <c r="E119" s="609"/>
      <c r="F119" s="610"/>
      <c r="G119" s="588"/>
      <c r="H119" s="589"/>
      <c r="I119" s="589"/>
      <c r="J119" s="590"/>
      <c r="K119" s="622">
        <f aca="true" t="shared" si="32" ref="K119:AF119">-K117*$D$45</f>
        <v>-0.18181818181818202</v>
      </c>
      <c r="L119" s="623">
        <f t="shared" si="32"/>
        <v>-0.18181818181818202</v>
      </c>
      <c r="M119" s="623">
        <f t="shared" si="32"/>
        <v>-0.18181818181818166</v>
      </c>
      <c r="N119" s="623">
        <f t="shared" si="32"/>
        <v>-0.18181818181818166</v>
      </c>
      <c r="O119" s="623">
        <f t="shared" si="32"/>
        <v>-0.18181818181818166</v>
      </c>
      <c r="P119" s="623">
        <f t="shared" si="32"/>
        <v>-0.18181818181818202</v>
      </c>
      <c r="Q119" s="623">
        <f t="shared" si="32"/>
        <v>-0.18181818181818202</v>
      </c>
      <c r="R119" s="623">
        <f t="shared" si="32"/>
        <v>-0.18181818181818166</v>
      </c>
      <c r="S119" s="623">
        <f t="shared" si="32"/>
        <v>-0.18181818181818166</v>
      </c>
      <c r="T119" s="623">
        <f t="shared" si="32"/>
        <v>-0.18181818181818202</v>
      </c>
      <c r="U119" s="623">
        <f t="shared" si="32"/>
        <v>-0.18181818181818202</v>
      </c>
      <c r="V119" s="624">
        <f t="shared" si="32"/>
        <v>-0.18181818181818202</v>
      </c>
      <c r="W119" s="623">
        <f t="shared" si="32"/>
        <v>-1.210818181818182</v>
      </c>
      <c r="X119" s="623">
        <f t="shared" si="32"/>
        <v>-1.2108181818181825</v>
      </c>
      <c r="Y119" s="623">
        <f t="shared" si="32"/>
        <v>-1.2108181818181822</v>
      </c>
      <c r="Z119" s="623">
        <f t="shared" si="32"/>
        <v>-1.2108181818181816</v>
      </c>
      <c r="AA119" s="623">
        <f t="shared" si="32"/>
        <v>-1.210818181818182</v>
      </c>
      <c r="AB119" s="623">
        <f t="shared" si="32"/>
        <v>-1.2108181818181818</v>
      </c>
      <c r="AC119" s="623">
        <f t="shared" si="32"/>
        <v>-1.2108181818181825</v>
      </c>
      <c r="AD119" s="623">
        <f t="shared" si="32"/>
        <v>-1.210818181818182</v>
      </c>
      <c r="AE119" s="623">
        <f t="shared" si="32"/>
        <v>-1.210818181818182</v>
      </c>
      <c r="AF119" s="624">
        <f t="shared" si="32"/>
        <v>-1.210818181818182</v>
      </c>
      <c r="AG119" s="663"/>
      <c r="AH119" s="663"/>
      <c r="AI119" s="663"/>
      <c r="AJ119" s="420"/>
      <c r="AK119" s="420"/>
      <c r="AL119" s="420"/>
      <c r="AM119" s="420"/>
      <c r="AN119" s="420"/>
      <c r="AO119" s="420"/>
      <c r="AP119" s="420"/>
      <c r="AQ119" s="420"/>
      <c r="AR119" s="420"/>
      <c r="AS119" s="420"/>
      <c r="AT119" s="420"/>
      <c r="AU119" s="420"/>
      <c r="AV119" s="420"/>
      <c r="AW119" s="420"/>
      <c r="AX119" s="420"/>
      <c r="AY119" s="420"/>
      <c r="AZ119" s="420"/>
      <c r="BA119" s="420"/>
      <c r="BB119" s="420"/>
      <c r="BC119" s="420"/>
      <c r="BD119" s="420"/>
    </row>
    <row r="120" spans="1:56" ht="18.75">
      <c r="A120" s="617"/>
      <c r="B120" s="617"/>
      <c r="C120" s="652"/>
      <c r="D120" s="608"/>
      <c r="E120" s="609"/>
      <c r="F120" s="610"/>
      <c r="G120" s="588"/>
      <c r="H120" s="589"/>
      <c r="I120" s="589"/>
      <c r="J120" s="590"/>
      <c r="K120" s="588"/>
      <c r="L120" s="589"/>
      <c r="M120" s="589"/>
      <c r="N120" s="589"/>
      <c r="O120" s="589"/>
      <c r="P120" s="589"/>
      <c r="Q120" s="589"/>
      <c r="R120" s="589"/>
      <c r="S120" s="589"/>
      <c r="T120" s="589"/>
      <c r="U120" s="589"/>
      <c r="V120" s="590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90"/>
      <c r="AG120" s="663"/>
      <c r="AH120" s="663"/>
      <c r="AI120" s="663"/>
      <c r="AJ120" s="420"/>
      <c r="AK120" s="420"/>
      <c r="AL120" s="420"/>
      <c r="AM120" s="420"/>
      <c r="AN120" s="420"/>
      <c r="AO120" s="420"/>
      <c r="AP120" s="420"/>
      <c r="AQ120" s="420"/>
      <c r="AR120" s="420"/>
      <c r="AS120" s="420"/>
      <c r="AT120" s="420"/>
      <c r="AU120" s="420"/>
      <c r="AV120" s="420"/>
      <c r="AW120" s="420"/>
      <c r="AX120" s="420"/>
      <c r="AY120" s="420"/>
      <c r="AZ120" s="420"/>
      <c r="BA120" s="420"/>
      <c r="BB120" s="420"/>
      <c r="BC120" s="420"/>
      <c r="BD120" s="420"/>
    </row>
    <row r="121" spans="1:56" ht="18.75">
      <c r="A121" s="617"/>
      <c r="B121" s="617"/>
      <c r="C121" s="682" t="s">
        <v>65</v>
      </c>
      <c r="D121" s="619"/>
      <c r="E121" s="620"/>
      <c r="F121" s="621"/>
      <c r="G121" s="622">
        <f>G94+G86</f>
        <v>-24</v>
      </c>
      <c r="H121" s="623">
        <f>H94+H86</f>
        <v>-48</v>
      </c>
      <c r="I121" s="623">
        <f>I94+I86</f>
        <v>18.125</v>
      </c>
      <c r="J121" s="624">
        <f>J94+J86</f>
        <v>53.875</v>
      </c>
      <c r="K121" s="622">
        <f>K117+K119</f>
        <v>1.636363636363638</v>
      </c>
      <c r="L121" s="623">
        <f aca="true" t="shared" si="33" ref="L121:AF121">L117+L119</f>
        <v>1.636363636363638</v>
      </c>
      <c r="M121" s="623">
        <f t="shared" si="33"/>
        <v>1.636363636363635</v>
      </c>
      <c r="N121" s="623">
        <f t="shared" si="33"/>
        <v>1.636363636363635</v>
      </c>
      <c r="O121" s="623">
        <f t="shared" si="33"/>
        <v>1.636363636363635</v>
      </c>
      <c r="P121" s="623">
        <f t="shared" si="33"/>
        <v>1.636363636363638</v>
      </c>
      <c r="Q121" s="623">
        <f t="shared" si="33"/>
        <v>1.636363636363638</v>
      </c>
      <c r="R121" s="623">
        <f t="shared" si="33"/>
        <v>1.636363636363635</v>
      </c>
      <c r="S121" s="623">
        <f t="shared" si="33"/>
        <v>1.636363636363635</v>
      </c>
      <c r="T121" s="623">
        <f t="shared" si="33"/>
        <v>1.636363636363638</v>
      </c>
      <c r="U121" s="623">
        <f t="shared" si="33"/>
        <v>1.636363636363638</v>
      </c>
      <c r="V121" s="624">
        <f t="shared" si="33"/>
        <v>1.636363636363638</v>
      </c>
      <c r="W121" s="623">
        <f t="shared" si="33"/>
        <v>10.897363636363638</v>
      </c>
      <c r="X121" s="623">
        <f t="shared" si="33"/>
        <v>10.89736363636364</v>
      </c>
      <c r="Y121" s="623">
        <f t="shared" si="33"/>
        <v>10.89736363636364</v>
      </c>
      <c r="Z121" s="623">
        <f t="shared" si="33"/>
        <v>10.897363636363634</v>
      </c>
      <c r="AA121" s="623">
        <f t="shared" si="33"/>
        <v>10.897363636363638</v>
      </c>
      <c r="AB121" s="623">
        <f t="shared" si="33"/>
        <v>10.897363636363636</v>
      </c>
      <c r="AC121" s="623">
        <f t="shared" si="33"/>
        <v>10.89736363636364</v>
      </c>
      <c r="AD121" s="623">
        <f t="shared" si="33"/>
        <v>10.897363636363638</v>
      </c>
      <c r="AE121" s="623">
        <f t="shared" si="33"/>
        <v>10.897363636363638</v>
      </c>
      <c r="AF121" s="624">
        <f t="shared" si="33"/>
        <v>10.897363636363638</v>
      </c>
      <c r="AG121" s="663"/>
      <c r="AH121" s="663"/>
      <c r="AI121" s="663"/>
      <c r="AJ121" s="420"/>
      <c r="AK121" s="420"/>
      <c r="AL121" s="420"/>
      <c r="AM121" s="420"/>
      <c r="AN121" s="420"/>
      <c r="AO121" s="420"/>
      <c r="AP121" s="420"/>
      <c r="AQ121" s="420"/>
      <c r="AR121" s="420"/>
      <c r="AS121" s="420"/>
      <c r="AT121" s="420"/>
      <c r="AU121" s="420"/>
      <c r="AV121" s="420"/>
      <c r="AW121" s="420"/>
      <c r="AX121" s="420"/>
      <c r="AY121" s="420"/>
      <c r="AZ121" s="420"/>
      <c r="BA121" s="420"/>
      <c r="BB121" s="420"/>
      <c r="BC121" s="420"/>
      <c r="BD121" s="420"/>
    </row>
    <row r="122" spans="1:56" ht="18.75">
      <c r="A122" s="617"/>
      <c r="B122" s="617"/>
      <c r="C122" s="652" t="s">
        <v>60</v>
      </c>
      <c r="D122" s="608"/>
      <c r="E122" s="609"/>
      <c r="F122" s="610"/>
      <c r="G122" s="622">
        <f>G121</f>
        <v>-24</v>
      </c>
      <c r="H122" s="623">
        <f aca="true" t="shared" si="34" ref="H122:AF122">G122+H121</f>
        <v>-72</v>
      </c>
      <c r="I122" s="623">
        <f t="shared" si="34"/>
        <v>-53.875</v>
      </c>
      <c r="J122" s="624">
        <f t="shared" si="34"/>
        <v>0</v>
      </c>
      <c r="K122" s="622">
        <f t="shared" si="34"/>
        <v>1.636363636363638</v>
      </c>
      <c r="L122" s="623">
        <f t="shared" si="34"/>
        <v>3.272727272727276</v>
      </c>
      <c r="M122" s="623">
        <f t="shared" si="34"/>
        <v>4.909090909090911</v>
      </c>
      <c r="N122" s="623">
        <f t="shared" si="34"/>
        <v>6.545454545454546</v>
      </c>
      <c r="O122" s="623">
        <f t="shared" si="34"/>
        <v>8.18181818181818</v>
      </c>
      <c r="P122" s="623">
        <f t="shared" si="34"/>
        <v>9.818181818181818</v>
      </c>
      <c r="Q122" s="623">
        <f t="shared" si="34"/>
        <v>11.454545454545457</v>
      </c>
      <c r="R122" s="623">
        <f t="shared" si="34"/>
        <v>13.090909090909092</v>
      </c>
      <c r="S122" s="623">
        <f t="shared" si="34"/>
        <v>14.727272727272727</v>
      </c>
      <c r="T122" s="623">
        <f t="shared" si="34"/>
        <v>16.363636363636363</v>
      </c>
      <c r="U122" s="623">
        <f t="shared" si="34"/>
        <v>18</v>
      </c>
      <c r="V122" s="624">
        <f t="shared" si="34"/>
        <v>19.636363636363637</v>
      </c>
      <c r="W122" s="623">
        <f t="shared" si="34"/>
        <v>30.533727272727276</v>
      </c>
      <c r="X122" s="623">
        <f t="shared" si="34"/>
        <v>41.43109090909091</v>
      </c>
      <c r="Y122" s="623">
        <f t="shared" si="34"/>
        <v>52.32845454545455</v>
      </c>
      <c r="Z122" s="623">
        <f t="shared" si="34"/>
        <v>63.225818181818184</v>
      </c>
      <c r="AA122" s="623">
        <f t="shared" si="34"/>
        <v>74.12318181818182</v>
      </c>
      <c r="AB122" s="623">
        <f t="shared" si="34"/>
        <v>85.02054545454546</v>
      </c>
      <c r="AC122" s="623">
        <f t="shared" si="34"/>
        <v>95.91790909090909</v>
      </c>
      <c r="AD122" s="623">
        <f t="shared" si="34"/>
        <v>106.81527272727273</v>
      </c>
      <c r="AE122" s="623">
        <f t="shared" si="34"/>
        <v>117.71263636363636</v>
      </c>
      <c r="AF122" s="624">
        <f t="shared" si="34"/>
        <v>128.61</v>
      </c>
      <c r="AG122" s="663"/>
      <c r="AH122" s="663"/>
      <c r="AI122" s="663"/>
      <c r="AJ122" s="420"/>
      <c r="AK122" s="420"/>
      <c r="AL122" s="420"/>
      <c r="AM122" s="420"/>
      <c r="AN122" s="420"/>
      <c r="AO122" s="420"/>
      <c r="AP122" s="420"/>
      <c r="AQ122" s="420"/>
      <c r="AR122" s="420"/>
      <c r="AS122" s="420"/>
      <c r="AT122" s="420"/>
      <c r="AU122" s="420"/>
      <c r="AV122" s="420"/>
      <c r="AW122" s="420"/>
      <c r="AX122" s="420"/>
      <c r="AY122" s="420"/>
      <c r="AZ122" s="420"/>
      <c r="BA122" s="420"/>
      <c r="BB122" s="420"/>
      <c r="BC122" s="420"/>
      <c r="BD122" s="420"/>
    </row>
    <row r="123" spans="1:56" ht="18.75">
      <c r="A123" s="617"/>
      <c r="B123" s="617"/>
      <c r="C123" s="652"/>
      <c r="D123" s="608"/>
      <c r="E123" s="609"/>
      <c r="F123" s="610"/>
      <c r="G123" s="588"/>
      <c r="H123" s="589"/>
      <c r="I123" s="589"/>
      <c r="J123" s="590"/>
      <c r="K123" s="588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90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90"/>
      <c r="AG123" s="663"/>
      <c r="AH123" s="663"/>
      <c r="AI123" s="663"/>
      <c r="AJ123" s="420"/>
      <c r="AK123" s="420"/>
      <c r="AL123" s="420"/>
      <c r="AM123" s="420"/>
      <c r="AN123" s="420"/>
      <c r="AO123" s="420"/>
      <c r="AP123" s="420"/>
      <c r="AQ123" s="420"/>
      <c r="AR123" s="420"/>
      <c r="AS123" s="420"/>
      <c r="AT123" s="420"/>
      <c r="AU123" s="420"/>
      <c r="AV123" s="420"/>
      <c r="AW123" s="420"/>
      <c r="AX123" s="420"/>
      <c r="AY123" s="420"/>
      <c r="AZ123" s="420"/>
      <c r="BA123" s="420"/>
      <c r="BB123" s="420"/>
      <c r="BC123" s="420"/>
      <c r="BD123" s="420"/>
    </row>
    <row r="124" spans="1:56" ht="18.75">
      <c r="A124" s="617"/>
      <c r="B124" s="617"/>
      <c r="C124" s="652" t="s">
        <v>15</v>
      </c>
      <c r="D124" s="608"/>
      <c r="E124" s="609"/>
      <c r="F124" s="610"/>
      <c r="G124" s="588"/>
      <c r="H124" s="589"/>
      <c r="I124" s="589"/>
      <c r="J124" s="590"/>
      <c r="K124" s="601"/>
      <c r="L124" s="602"/>
      <c r="M124" s="602"/>
      <c r="N124" s="602"/>
      <c r="O124" s="602"/>
      <c r="P124" s="602"/>
      <c r="Q124" s="602"/>
      <c r="R124" s="602"/>
      <c r="S124" s="602"/>
      <c r="T124" s="602"/>
      <c r="U124" s="602"/>
      <c r="V124" s="603"/>
      <c r="W124" s="602"/>
      <c r="X124" s="602"/>
      <c r="Y124" s="602"/>
      <c r="Z124" s="602"/>
      <c r="AA124" s="602"/>
      <c r="AB124" s="602"/>
      <c r="AC124" s="602"/>
      <c r="AD124" s="602"/>
      <c r="AE124" s="602"/>
      <c r="AF124" s="603"/>
      <c r="AG124" s="663"/>
      <c r="AH124" s="663"/>
      <c r="AI124" s="663"/>
      <c r="AJ124" s="420"/>
      <c r="AK124" s="420"/>
      <c r="AL124" s="420"/>
      <c r="AM124" s="420"/>
      <c r="AN124" s="420"/>
      <c r="AO124" s="420"/>
      <c r="AP124" s="420"/>
      <c r="AQ124" s="420"/>
      <c r="AR124" s="420"/>
      <c r="AS124" s="420"/>
      <c r="AT124" s="420"/>
      <c r="AU124" s="420"/>
      <c r="AV124" s="420"/>
      <c r="AW124" s="420"/>
      <c r="AX124" s="420"/>
      <c r="AY124" s="420"/>
      <c r="AZ124" s="420"/>
      <c r="BA124" s="420"/>
      <c r="BB124" s="420"/>
      <c r="BC124" s="420"/>
      <c r="BD124" s="420"/>
    </row>
    <row r="125" spans="1:56" ht="18.75">
      <c r="A125" s="617"/>
      <c r="B125" s="617"/>
      <c r="C125" s="683" t="s">
        <v>98</v>
      </c>
      <c r="D125" s="619">
        <f>SUM(G125:AF125)</f>
        <v>314.8900000000001</v>
      </c>
      <c r="E125" s="620">
        <f>SUM(G125:J125)</f>
        <v>0</v>
      </c>
      <c r="F125" s="621">
        <f>SUM(K125:AF125)</f>
        <v>314.8900000000001</v>
      </c>
      <c r="G125" s="588"/>
      <c r="H125" s="589"/>
      <c r="I125" s="589"/>
      <c r="J125" s="590"/>
      <c r="K125" s="622">
        <f aca="true" t="shared" si="35" ref="K125:AF125">K101+K113+K114+K112</f>
        <v>20.19318181818182</v>
      </c>
      <c r="L125" s="623">
        <f t="shared" si="35"/>
        <v>19.45818181818182</v>
      </c>
      <c r="M125" s="623">
        <f t="shared" si="35"/>
        <v>18.723181818181818</v>
      </c>
      <c r="N125" s="623">
        <f t="shared" si="35"/>
        <v>17.98818181818182</v>
      </c>
      <c r="O125" s="623">
        <f t="shared" si="35"/>
        <v>17.253181818181815</v>
      </c>
      <c r="P125" s="623">
        <f t="shared" si="35"/>
        <v>16.51818181818182</v>
      </c>
      <c r="Q125" s="623">
        <f t="shared" si="35"/>
        <v>15.78318181818182</v>
      </c>
      <c r="R125" s="623">
        <f t="shared" si="35"/>
        <v>15.048181818181819</v>
      </c>
      <c r="S125" s="623">
        <f t="shared" si="35"/>
        <v>14.313181818181816</v>
      </c>
      <c r="T125" s="623">
        <f t="shared" si="35"/>
        <v>13.57818181818182</v>
      </c>
      <c r="U125" s="623">
        <f t="shared" si="35"/>
        <v>12.843181818181819</v>
      </c>
      <c r="V125" s="624">
        <f t="shared" si="35"/>
        <v>12.10818181818182</v>
      </c>
      <c r="W125" s="623">
        <f t="shared" si="35"/>
        <v>12.10818181818182</v>
      </c>
      <c r="X125" s="623">
        <f t="shared" si="35"/>
        <v>12.108181818181821</v>
      </c>
      <c r="Y125" s="623">
        <f t="shared" si="35"/>
        <v>12.10818181818182</v>
      </c>
      <c r="Z125" s="623">
        <f t="shared" si="35"/>
        <v>12.108181818181817</v>
      </c>
      <c r="AA125" s="623">
        <f t="shared" si="35"/>
        <v>12.10818181818182</v>
      </c>
      <c r="AB125" s="623">
        <f t="shared" si="35"/>
        <v>12.108181818181817</v>
      </c>
      <c r="AC125" s="623">
        <f t="shared" si="35"/>
        <v>12.108181818181821</v>
      </c>
      <c r="AD125" s="623">
        <f t="shared" si="35"/>
        <v>12.108181818181821</v>
      </c>
      <c r="AE125" s="623">
        <f t="shared" si="35"/>
        <v>12.10818181818182</v>
      </c>
      <c r="AF125" s="623">
        <f t="shared" si="35"/>
        <v>12.108181818181821</v>
      </c>
      <c r="AG125" s="663"/>
      <c r="AH125" s="663"/>
      <c r="AI125" s="663"/>
      <c r="AJ125" s="420"/>
      <c r="AK125" s="420"/>
      <c r="AL125" s="420"/>
      <c r="AM125" s="420"/>
      <c r="AN125" s="420"/>
      <c r="AO125" s="420"/>
      <c r="AP125" s="420"/>
      <c r="AQ125" s="420"/>
      <c r="AR125" s="420"/>
      <c r="AS125" s="420"/>
      <c r="AT125" s="420"/>
      <c r="AU125" s="420"/>
      <c r="AV125" s="420"/>
      <c r="AW125" s="420"/>
      <c r="AX125" s="420"/>
      <c r="AY125" s="420"/>
      <c r="AZ125" s="420"/>
      <c r="BA125" s="420"/>
      <c r="BB125" s="420"/>
      <c r="BC125" s="420"/>
      <c r="BD125" s="420"/>
    </row>
    <row r="126" spans="1:56" ht="18.75">
      <c r="A126" s="617"/>
      <c r="B126" s="617"/>
      <c r="C126" s="683" t="s">
        <v>61</v>
      </c>
      <c r="D126" s="619">
        <f>SUM(G126:AF126)</f>
        <v>142.90000000000003</v>
      </c>
      <c r="E126" s="620">
        <f>SUM(G126:J126)</f>
        <v>0</v>
      </c>
      <c r="F126" s="621">
        <f>SUM(K126:AF126)</f>
        <v>142.90000000000003</v>
      </c>
      <c r="G126" s="588"/>
      <c r="H126" s="589"/>
      <c r="I126" s="589"/>
      <c r="J126" s="590"/>
      <c r="K126" s="622">
        <f aca="true" t="shared" si="36" ref="K126:AF126">K125+K110+K111</f>
        <v>1.8181818181818201</v>
      </c>
      <c r="L126" s="623">
        <f t="shared" si="36"/>
        <v>1.8181818181818201</v>
      </c>
      <c r="M126" s="623">
        <f t="shared" si="36"/>
        <v>1.8181818181818183</v>
      </c>
      <c r="N126" s="623">
        <f t="shared" si="36"/>
        <v>1.8181818181818183</v>
      </c>
      <c r="O126" s="623">
        <f t="shared" si="36"/>
        <v>1.8181818181818166</v>
      </c>
      <c r="P126" s="623">
        <f t="shared" si="36"/>
        <v>1.8181818181818192</v>
      </c>
      <c r="Q126" s="623">
        <f t="shared" si="36"/>
        <v>1.8181818181818192</v>
      </c>
      <c r="R126" s="623">
        <f t="shared" si="36"/>
        <v>1.8181818181818192</v>
      </c>
      <c r="S126" s="623">
        <f t="shared" si="36"/>
        <v>1.8181818181818166</v>
      </c>
      <c r="T126" s="623">
        <f t="shared" si="36"/>
        <v>1.818181818181821</v>
      </c>
      <c r="U126" s="623">
        <f t="shared" si="36"/>
        <v>1.8181818181818188</v>
      </c>
      <c r="V126" s="624">
        <f t="shared" si="36"/>
        <v>1.8181818181818188</v>
      </c>
      <c r="W126" s="623">
        <f t="shared" si="36"/>
        <v>12.10818181818182</v>
      </c>
      <c r="X126" s="623">
        <f t="shared" si="36"/>
        <v>12.108181818181821</v>
      </c>
      <c r="Y126" s="623">
        <f t="shared" si="36"/>
        <v>12.10818181818182</v>
      </c>
      <c r="Z126" s="623">
        <f t="shared" si="36"/>
        <v>12.108181818181817</v>
      </c>
      <c r="AA126" s="623">
        <f t="shared" si="36"/>
        <v>12.10818181818182</v>
      </c>
      <c r="AB126" s="623">
        <f t="shared" si="36"/>
        <v>12.108181818181817</v>
      </c>
      <c r="AC126" s="623">
        <f t="shared" si="36"/>
        <v>12.108181818181821</v>
      </c>
      <c r="AD126" s="623">
        <f t="shared" si="36"/>
        <v>12.108181818181821</v>
      </c>
      <c r="AE126" s="623">
        <f t="shared" si="36"/>
        <v>12.10818181818182</v>
      </c>
      <c r="AF126" s="624">
        <f t="shared" si="36"/>
        <v>12.108181818181821</v>
      </c>
      <c r="AG126" s="663"/>
      <c r="AH126" s="663"/>
      <c r="AI126" s="663"/>
      <c r="AJ126" s="420"/>
      <c r="AK126" s="420"/>
      <c r="AL126" s="420"/>
      <c r="AM126" s="420"/>
      <c r="AN126" s="420"/>
      <c r="AO126" s="420"/>
      <c r="AP126" s="420"/>
      <c r="AQ126" s="420"/>
      <c r="AR126" s="420"/>
      <c r="AS126" s="420"/>
      <c r="AT126" s="420"/>
      <c r="AU126" s="420"/>
      <c r="AV126" s="420"/>
      <c r="AW126" s="420"/>
      <c r="AX126" s="420"/>
      <c r="AY126" s="420"/>
      <c r="AZ126" s="420"/>
      <c r="BA126" s="420"/>
      <c r="BB126" s="420"/>
      <c r="BC126" s="420"/>
      <c r="BD126" s="420"/>
    </row>
    <row r="127" spans="1:56" ht="18.75">
      <c r="A127" s="617"/>
      <c r="B127" s="617"/>
      <c r="C127" s="683" t="s">
        <v>62</v>
      </c>
      <c r="D127" s="619">
        <f>SUM(G127:AF127)</f>
        <v>128.61</v>
      </c>
      <c r="E127" s="620">
        <f>SUM(G127:J127)</f>
        <v>0</v>
      </c>
      <c r="F127" s="621">
        <f>SUM(K127:AF127)</f>
        <v>128.61</v>
      </c>
      <c r="G127" s="588"/>
      <c r="H127" s="589"/>
      <c r="I127" s="589"/>
      <c r="J127" s="590"/>
      <c r="K127" s="622">
        <f>K126+K119</f>
        <v>1.636363636363638</v>
      </c>
      <c r="L127" s="623">
        <f aca="true" t="shared" si="37" ref="L127:AF127">L126+L119</f>
        <v>1.636363636363638</v>
      </c>
      <c r="M127" s="623">
        <f t="shared" si="37"/>
        <v>1.6363636363636367</v>
      </c>
      <c r="N127" s="623">
        <f t="shared" si="37"/>
        <v>1.6363636363636367</v>
      </c>
      <c r="O127" s="623">
        <f t="shared" si="37"/>
        <v>1.636363636363635</v>
      </c>
      <c r="P127" s="623">
        <f t="shared" si="37"/>
        <v>1.6363636363636371</v>
      </c>
      <c r="Q127" s="623">
        <f t="shared" si="37"/>
        <v>1.6363636363636371</v>
      </c>
      <c r="R127" s="623">
        <f t="shared" si="37"/>
        <v>1.6363636363636376</v>
      </c>
      <c r="S127" s="623">
        <f t="shared" si="37"/>
        <v>1.636363636363635</v>
      </c>
      <c r="T127" s="623">
        <f t="shared" si="37"/>
        <v>1.636363636363639</v>
      </c>
      <c r="U127" s="623">
        <f t="shared" si="37"/>
        <v>1.6363636363636367</v>
      </c>
      <c r="V127" s="624">
        <f t="shared" si="37"/>
        <v>1.6363636363636367</v>
      </c>
      <c r="W127" s="623">
        <f t="shared" si="37"/>
        <v>10.897363636363638</v>
      </c>
      <c r="X127" s="623">
        <f t="shared" si="37"/>
        <v>10.89736363636364</v>
      </c>
      <c r="Y127" s="623">
        <f t="shared" si="37"/>
        <v>10.897363636363638</v>
      </c>
      <c r="Z127" s="623">
        <f t="shared" si="37"/>
        <v>10.897363636363636</v>
      </c>
      <c r="AA127" s="623">
        <f t="shared" si="37"/>
        <v>10.897363636363638</v>
      </c>
      <c r="AB127" s="623">
        <f t="shared" si="37"/>
        <v>10.897363636363636</v>
      </c>
      <c r="AC127" s="623">
        <f t="shared" si="37"/>
        <v>10.89736363636364</v>
      </c>
      <c r="AD127" s="623">
        <f t="shared" si="37"/>
        <v>10.89736363636364</v>
      </c>
      <c r="AE127" s="623">
        <f t="shared" si="37"/>
        <v>10.897363636363638</v>
      </c>
      <c r="AF127" s="624">
        <f t="shared" si="37"/>
        <v>10.89736363636364</v>
      </c>
      <c r="AG127" s="663"/>
      <c r="AH127" s="663"/>
      <c r="AI127" s="663"/>
      <c r="AJ127" s="420"/>
      <c r="AK127" s="420"/>
      <c r="AL127" s="420"/>
      <c r="AM127" s="420"/>
      <c r="AN127" s="420"/>
      <c r="AO127" s="420"/>
      <c r="AP127" s="420"/>
      <c r="AQ127" s="420"/>
      <c r="AR127" s="420"/>
      <c r="AS127" s="420"/>
      <c r="AT127" s="420"/>
      <c r="AU127" s="420"/>
      <c r="AV127" s="420"/>
      <c r="AW127" s="420"/>
      <c r="AX127" s="420"/>
      <c r="AY127" s="420"/>
      <c r="AZ127" s="420"/>
      <c r="BA127" s="420"/>
      <c r="BB127" s="420"/>
      <c r="BC127" s="420"/>
      <c r="BD127" s="420"/>
    </row>
    <row r="128" spans="1:56" ht="19.5" thickBot="1">
      <c r="A128" s="670"/>
      <c r="B128" s="670"/>
      <c r="C128" s="684"/>
      <c r="D128" s="685"/>
      <c r="E128" s="686"/>
      <c r="F128" s="687"/>
      <c r="G128" s="570"/>
      <c r="H128" s="571"/>
      <c r="I128" s="571"/>
      <c r="J128" s="519"/>
      <c r="K128" s="563"/>
      <c r="L128" s="564"/>
      <c r="M128" s="564"/>
      <c r="N128" s="564"/>
      <c r="O128" s="564"/>
      <c r="P128" s="564"/>
      <c r="Q128" s="564"/>
      <c r="R128" s="564"/>
      <c r="S128" s="564"/>
      <c r="T128" s="564"/>
      <c r="U128" s="564"/>
      <c r="V128" s="565"/>
      <c r="W128" s="564"/>
      <c r="X128" s="564"/>
      <c r="Y128" s="564"/>
      <c r="Z128" s="564"/>
      <c r="AA128" s="564"/>
      <c r="AB128" s="564"/>
      <c r="AC128" s="564"/>
      <c r="AD128" s="564"/>
      <c r="AE128" s="564"/>
      <c r="AF128" s="565"/>
      <c r="AG128" s="663"/>
      <c r="AH128" s="663"/>
      <c r="AI128" s="663"/>
      <c r="AJ128" s="420"/>
      <c r="AK128" s="420"/>
      <c r="AL128" s="420"/>
      <c r="AM128" s="420"/>
      <c r="AN128" s="420"/>
      <c r="AO128" s="420"/>
      <c r="AP128" s="420"/>
      <c r="AQ128" s="420"/>
      <c r="AR128" s="420"/>
      <c r="AS128" s="420"/>
      <c r="AT128" s="420"/>
      <c r="AU128" s="420"/>
      <c r="AV128" s="420"/>
      <c r="AW128" s="420"/>
      <c r="AX128" s="420"/>
      <c r="AY128" s="420"/>
      <c r="AZ128" s="420"/>
      <c r="BA128" s="420"/>
      <c r="BB128" s="420"/>
      <c r="BC128" s="420"/>
      <c r="BD128" s="420"/>
    </row>
    <row r="129" spans="1:56" ht="18.75">
      <c r="A129" s="550"/>
      <c r="B129" s="426"/>
      <c r="C129" s="688"/>
      <c r="D129" s="689"/>
      <c r="E129" s="690"/>
      <c r="F129" s="691"/>
      <c r="G129" s="576"/>
      <c r="H129" s="577"/>
      <c r="I129" s="577"/>
      <c r="J129" s="521"/>
      <c r="K129" s="692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4"/>
      <c r="W129" s="693"/>
      <c r="X129" s="693"/>
      <c r="Y129" s="693"/>
      <c r="Z129" s="693"/>
      <c r="AA129" s="693"/>
      <c r="AB129" s="693"/>
      <c r="AC129" s="693"/>
      <c r="AD129" s="693"/>
      <c r="AE129" s="693"/>
      <c r="AF129" s="694"/>
      <c r="AG129" s="663"/>
      <c r="AH129" s="663"/>
      <c r="AI129" s="663"/>
      <c r="AJ129" s="420"/>
      <c r="AK129" s="420"/>
      <c r="AL129" s="420"/>
      <c r="AM129" s="420"/>
      <c r="AN129" s="420"/>
      <c r="AO129" s="420"/>
      <c r="AP129" s="420"/>
      <c r="AQ129" s="420"/>
      <c r="AR129" s="420"/>
      <c r="AS129" s="420"/>
      <c r="AT129" s="420"/>
      <c r="AU129" s="420"/>
      <c r="AV129" s="420"/>
      <c r="AW129" s="420"/>
      <c r="AX129" s="420"/>
      <c r="AY129" s="420"/>
      <c r="AZ129" s="420"/>
      <c r="BA129" s="420"/>
      <c r="BB129" s="420"/>
      <c r="BC129" s="420"/>
      <c r="BD129" s="420"/>
    </row>
    <row r="130" spans="1:56" s="144" customFormat="1" ht="18.75">
      <c r="A130" s="695"/>
      <c r="B130" s="514"/>
      <c r="C130" s="696" t="s">
        <v>13</v>
      </c>
      <c r="D130" s="608">
        <f>SUM(G130:AF130)</f>
        <v>108.61000000000001</v>
      </c>
      <c r="E130" s="609">
        <f>SUM(G130:J130)</f>
        <v>-20</v>
      </c>
      <c r="F130" s="610">
        <f>SUM(K130:AF130)</f>
        <v>128.61</v>
      </c>
      <c r="G130" s="656">
        <f>-G96</f>
        <v>0</v>
      </c>
      <c r="H130" s="657">
        <f>-H96</f>
        <v>0</v>
      </c>
      <c r="I130" s="657">
        <f>-I96</f>
        <v>-10</v>
      </c>
      <c r="J130" s="658">
        <f>-J96</f>
        <v>-10</v>
      </c>
      <c r="K130" s="697">
        <f>K127</f>
        <v>1.636363636363638</v>
      </c>
      <c r="L130" s="698">
        <f aca="true" t="shared" si="38" ref="L130:AF130">L127</f>
        <v>1.636363636363638</v>
      </c>
      <c r="M130" s="698">
        <f t="shared" si="38"/>
        <v>1.6363636363636367</v>
      </c>
      <c r="N130" s="698">
        <f t="shared" si="38"/>
        <v>1.6363636363636367</v>
      </c>
      <c r="O130" s="698">
        <f t="shared" si="38"/>
        <v>1.636363636363635</v>
      </c>
      <c r="P130" s="698">
        <f t="shared" si="38"/>
        <v>1.6363636363636371</v>
      </c>
      <c r="Q130" s="698">
        <f t="shared" si="38"/>
        <v>1.6363636363636371</v>
      </c>
      <c r="R130" s="698">
        <f t="shared" si="38"/>
        <v>1.6363636363636376</v>
      </c>
      <c r="S130" s="698">
        <f t="shared" si="38"/>
        <v>1.636363636363635</v>
      </c>
      <c r="T130" s="698">
        <f t="shared" si="38"/>
        <v>1.636363636363639</v>
      </c>
      <c r="U130" s="698">
        <f t="shared" si="38"/>
        <v>1.6363636363636367</v>
      </c>
      <c r="V130" s="699">
        <f t="shared" si="38"/>
        <v>1.6363636363636367</v>
      </c>
      <c r="W130" s="698">
        <f t="shared" si="38"/>
        <v>10.897363636363638</v>
      </c>
      <c r="X130" s="698">
        <f t="shared" si="38"/>
        <v>10.89736363636364</v>
      </c>
      <c r="Y130" s="698">
        <f t="shared" si="38"/>
        <v>10.897363636363638</v>
      </c>
      <c r="Z130" s="698">
        <f t="shared" si="38"/>
        <v>10.897363636363636</v>
      </c>
      <c r="AA130" s="698">
        <f t="shared" si="38"/>
        <v>10.897363636363638</v>
      </c>
      <c r="AB130" s="698">
        <f t="shared" si="38"/>
        <v>10.897363636363636</v>
      </c>
      <c r="AC130" s="698">
        <f t="shared" si="38"/>
        <v>10.89736363636364</v>
      </c>
      <c r="AD130" s="698">
        <f t="shared" si="38"/>
        <v>10.89736363636364</v>
      </c>
      <c r="AE130" s="698">
        <f t="shared" si="38"/>
        <v>10.897363636363638</v>
      </c>
      <c r="AF130" s="699">
        <f t="shared" si="38"/>
        <v>10.89736363636364</v>
      </c>
      <c r="AG130" s="700"/>
      <c r="AH130" s="700"/>
      <c r="AI130" s="701"/>
      <c r="AJ130" s="701"/>
      <c r="AK130" s="701"/>
      <c r="AL130" s="701"/>
      <c r="AM130" s="701"/>
      <c r="AN130" s="701"/>
      <c r="AO130" s="701"/>
      <c r="AP130" s="701"/>
      <c r="AQ130" s="701"/>
      <c r="AR130" s="701"/>
      <c r="AS130" s="701"/>
      <c r="AT130" s="701"/>
      <c r="AU130" s="701"/>
      <c r="AV130" s="701"/>
      <c r="AW130" s="701"/>
      <c r="AX130" s="701"/>
      <c r="AY130" s="701"/>
      <c r="AZ130" s="701"/>
      <c r="BA130" s="701"/>
      <c r="BB130" s="701"/>
      <c r="BC130" s="701"/>
      <c r="BD130" s="701"/>
    </row>
    <row r="131" spans="1:56" s="75" customFormat="1" ht="18.75">
      <c r="A131" s="561"/>
      <c r="B131" s="451"/>
      <c r="C131" s="702"/>
      <c r="D131" s="703"/>
      <c r="E131" s="704"/>
      <c r="F131" s="705"/>
      <c r="G131" s="706"/>
      <c r="H131" s="483"/>
      <c r="I131" s="483"/>
      <c r="J131" s="529"/>
      <c r="K131" s="707"/>
      <c r="L131" s="708"/>
      <c r="M131" s="708"/>
      <c r="N131" s="708"/>
      <c r="O131" s="708"/>
      <c r="P131" s="708"/>
      <c r="Q131" s="708"/>
      <c r="R131" s="708"/>
      <c r="S131" s="708"/>
      <c r="T131" s="708"/>
      <c r="U131" s="708"/>
      <c r="V131" s="709"/>
      <c r="W131" s="708"/>
      <c r="X131" s="708"/>
      <c r="Y131" s="708"/>
      <c r="Z131" s="708"/>
      <c r="AA131" s="708"/>
      <c r="AB131" s="708"/>
      <c r="AC131" s="708"/>
      <c r="AD131" s="708"/>
      <c r="AE131" s="708"/>
      <c r="AF131" s="709"/>
      <c r="AG131" s="710"/>
      <c r="AH131" s="710"/>
      <c r="AI131" s="454"/>
      <c r="AJ131" s="454"/>
      <c r="AK131" s="454"/>
      <c r="AL131" s="454"/>
      <c r="AM131" s="454"/>
      <c r="AN131" s="454"/>
      <c r="AO131" s="454"/>
      <c r="AP131" s="454"/>
      <c r="AQ131" s="454"/>
      <c r="AR131" s="454"/>
      <c r="AS131" s="454"/>
      <c r="AT131" s="454"/>
      <c r="AU131" s="454"/>
      <c r="AV131" s="454"/>
      <c r="AW131" s="454"/>
      <c r="AX131" s="454"/>
      <c r="AY131" s="454"/>
      <c r="AZ131" s="454"/>
      <c r="BA131" s="454"/>
      <c r="BB131" s="454"/>
      <c r="BC131" s="454"/>
      <c r="BD131" s="454"/>
    </row>
    <row r="132" spans="1:56" s="90" customFormat="1" ht="18.75">
      <c r="A132" s="711"/>
      <c r="B132" s="424"/>
      <c r="C132" s="712" t="s">
        <v>36</v>
      </c>
      <c r="D132" s="713">
        <f>AF132</f>
        <v>0.1384778036749852</v>
      </c>
      <c r="E132" s="714"/>
      <c r="F132" s="715"/>
      <c r="G132" s="716" t="s">
        <v>109</v>
      </c>
      <c r="H132" s="717" t="s">
        <v>109</v>
      </c>
      <c r="I132" s="717" t="s">
        <v>109</v>
      </c>
      <c r="J132" s="718" t="s">
        <v>109</v>
      </c>
      <c r="K132" s="1057">
        <f>IF(SUM($G$130:K130)&gt;0,IRR($G$130:K130),0)</f>
        <v>0</v>
      </c>
      <c r="L132" s="1057">
        <f>IF(SUM($G$130:L130)&gt;0,IRR($G$130:L130),0)</f>
        <v>0</v>
      </c>
      <c r="M132" s="1057">
        <f>IF(SUM($G$130:M130)&gt;0,IRR($G$130:M130),0)</f>
        <v>0</v>
      </c>
      <c r="N132" s="1057">
        <f>IF(SUM($G$130:N130)&gt;0,IRR($G$130:N130),0)</f>
        <v>0</v>
      </c>
      <c r="O132" s="1057">
        <f>IF(SUM($G$130:O130)&gt;0,IRR($G$130:O130),0)</f>
        <v>0</v>
      </c>
      <c r="P132" s="1057">
        <f>IF(SUM($G$130:P130)&gt;0,IRR($G$130:P130),0)</f>
        <v>0</v>
      </c>
      <c r="Q132" s="1057">
        <f>IF(SUM($G$130:Q130)&gt;0,IRR($G$130:Q130),0)</f>
        <v>0</v>
      </c>
      <c r="R132" s="1057">
        <f>IF(SUM($G$130:R130)&gt;0,IRR($G$130:R130),0)</f>
        <v>0</v>
      </c>
      <c r="S132" s="1067">
        <f>IRR($G130:S130)</f>
        <v>-0.05251844710851883</v>
      </c>
      <c r="T132" s="1067">
        <f>IRR($G130:T130)</f>
        <v>-0.032201662133093945</v>
      </c>
      <c r="U132" s="1067">
        <f>IRR($G130:U130)</f>
        <v>-0.01588936506462635</v>
      </c>
      <c r="V132" s="1086">
        <f>IRR($G130:V130)</f>
        <v>-0.0026121867050648007</v>
      </c>
      <c r="W132" s="1067">
        <f>IRR($G130:W130)</f>
        <v>0.04867801526289606</v>
      </c>
      <c r="X132" s="1067">
        <f>IRR($G130:X130)</f>
        <v>0.07568750408161518</v>
      </c>
      <c r="Y132" s="1067">
        <f>IRR($G130:Y130)</f>
        <v>0.09327194088659874</v>
      </c>
      <c r="Z132" s="1067">
        <f>IRR($G130:Z130)</f>
        <v>0.10573239848083271</v>
      </c>
      <c r="AA132" s="1067">
        <f>IRR($G130:AA130)</f>
        <v>0.11498820952557454</v>
      </c>
      <c r="AB132" s="1067">
        <f>IRR($G130:AB130)</f>
        <v>0.12207655407593587</v>
      </c>
      <c r="AC132" s="1067">
        <f>IRR($G130:AC130)</f>
        <v>0.12762337393947476</v>
      </c>
      <c r="AD132" s="1067">
        <f>IRR($G130:AD130)</f>
        <v>0.1320346467147242</v>
      </c>
      <c r="AE132" s="1067">
        <f>IRR($G130:AE130)</f>
        <v>0.1355873747105083</v>
      </c>
      <c r="AF132" s="1086">
        <f>IRR($G130:AF130)</f>
        <v>0.1384778036749852</v>
      </c>
      <c r="AG132" s="719"/>
      <c r="AH132" s="719"/>
      <c r="AI132" s="719"/>
      <c r="AJ132" s="719"/>
      <c r="AK132" s="719"/>
      <c r="AL132" s="719"/>
      <c r="AM132" s="719"/>
      <c r="AN132" s="719"/>
      <c r="AO132" s="719"/>
      <c r="AP132" s="719"/>
      <c r="AQ132" s="719"/>
      <c r="AR132" s="719"/>
      <c r="AS132" s="719"/>
      <c r="AT132" s="719"/>
      <c r="AU132" s="719"/>
      <c r="AV132" s="719"/>
      <c r="AW132" s="719"/>
      <c r="AX132" s="719"/>
      <c r="AY132" s="719"/>
      <c r="AZ132" s="719"/>
      <c r="BA132" s="719"/>
      <c r="BB132" s="719"/>
      <c r="BC132" s="719"/>
      <c r="BD132" s="719"/>
    </row>
    <row r="133" spans="1:56" s="90" customFormat="1" ht="18.75">
      <c r="A133" s="711"/>
      <c r="B133" s="424"/>
      <c r="C133" s="712"/>
      <c r="D133" s="713"/>
      <c r="E133" s="714"/>
      <c r="F133" s="715"/>
      <c r="G133" s="716"/>
      <c r="H133" s="717"/>
      <c r="I133" s="717"/>
      <c r="J133" s="718"/>
      <c r="K133" s="716"/>
      <c r="L133" s="717"/>
      <c r="M133" s="717"/>
      <c r="N133" s="717"/>
      <c r="O133" s="717"/>
      <c r="P133" s="717"/>
      <c r="Q133" s="717"/>
      <c r="R133" s="717"/>
      <c r="S133" s="717"/>
      <c r="T133" s="717"/>
      <c r="U133" s="717"/>
      <c r="V133" s="718"/>
      <c r="W133" s="717"/>
      <c r="X133" s="717"/>
      <c r="Y133" s="717"/>
      <c r="Z133" s="717"/>
      <c r="AA133" s="717"/>
      <c r="AB133" s="717"/>
      <c r="AC133" s="717"/>
      <c r="AD133" s="717"/>
      <c r="AE133" s="717"/>
      <c r="AF133" s="718"/>
      <c r="AG133" s="719"/>
      <c r="AH133" s="719"/>
      <c r="AI133" s="719"/>
      <c r="AJ133" s="719"/>
      <c r="AK133" s="719"/>
      <c r="AL133" s="719"/>
      <c r="AM133" s="719"/>
      <c r="AN133" s="719"/>
      <c r="AO133" s="719"/>
      <c r="AP133" s="719"/>
      <c r="AQ133" s="719"/>
      <c r="AR133" s="719"/>
      <c r="AS133" s="719"/>
      <c r="AT133" s="719"/>
      <c r="AU133" s="719"/>
      <c r="AV133" s="719"/>
      <c r="AW133" s="719"/>
      <c r="AX133" s="719"/>
      <c r="AY133" s="719"/>
      <c r="AZ133" s="719"/>
      <c r="BA133" s="719"/>
      <c r="BB133" s="719"/>
      <c r="BC133" s="719"/>
      <c r="BD133" s="719"/>
    </row>
    <row r="134" spans="1:56" s="75" customFormat="1" ht="18.75">
      <c r="A134" s="561"/>
      <c r="B134" s="451"/>
      <c r="C134" s="702" t="s">
        <v>14</v>
      </c>
      <c r="D134" s="720">
        <f>AVERAGE(K134:V134)</f>
        <v>1.1310707941908371</v>
      </c>
      <c r="E134" s="721"/>
      <c r="F134" s="705"/>
      <c r="G134" s="706"/>
      <c r="H134" s="483"/>
      <c r="I134" s="483"/>
      <c r="J134" s="529"/>
      <c r="K134" s="722">
        <f>K125/(K110+K111)*-1</f>
        <v>1.098948670377242</v>
      </c>
      <c r="L134" s="723">
        <f>L125/(L110+L111)*-1</f>
        <v>1.1030715316429602</v>
      </c>
      <c r="M134" s="723">
        <f aca="true" t="shared" si="39" ref="M134:U134">M125/(M110+M111)*-1</f>
        <v>1.1075529025839583</v>
      </c>
      <c r="N134" s="723">
        <f t="shared" si="39"/>
        <v>1.1124416708832292</v>
      </c>
      <c r="O134" s="723">
        <f t="shared" si="39"/>
        <v>1.117796036163383</v>
      </c>
      <c r="P134" s="723">
        <f t="shared" si="39"/>
        <v>1.1236858379715524</v>
      </c>
      <c r="Q134" s="723">
        <f t="shared" si="39"/>
        <v>1.1301956189174236</v>
      </c>
      <c r="R134" s="723">
        <f t="shared" si="39"/>
        <v>1.1374287088572803</v>
      </c>
      <c r="S134" s="723">
        <f t="shared" si="39"/>
        <v>1.1455127505547673</v>
      </c>
      <c r="T134" s="723">
        <f t="shared" si="39"/>
        <v>1.1546072974644406</v>
      </c>
      <c r="U134" s="723">
        <f t="shared" si="39"/>
        <v>1.1649144506287363</v>
      </c>
      <c r="V134" s="724">
        <f>V125/(V110+V111)*-1</f>
        <v>1.1766940542450746</v>
      </c>
      <c r="W134" s="723"/>
      <c r="X134" s="723"/>
      <c r="Y134" s="723"/>
      <c r="Z134" s="723"/>
      <c r="AA134" s="723"/>
      <c r="AB134" s="723"/>
      <c r="AC134" s="723"/>
      <c r="AD134" s="723"/>
      <c r="AE134" s="723"/>
      <c r="AF134" s="724"/>
      <c r="AG134" s="710"/>
      <c r="AH134" s="710"/>
      <c r="AI134" s="710"/>
      <c r="AJ134" s="454"/>
      <c r="AK134" s="454"/>
      <c r="AL134" s="454"/>
      <c r="AM134" s="454"/>
      <c r="AN134" s="454"/>
      <c r="AO134" s="454"/>
      <c r="AP134" s="454"/>
      <c r="AQ134" s="454"/>
      <c r="AR134" s="454"/>
      <c r="AS134" s="454"/>
      <c r="AT134" s="454"/>
      <c r="AU134" s="454"/>
      <c r="AV134" s="454"/>
      <c r="AW134" s="454"/>
      <c r="AX134" s="454"/>
      <c r="AY134" s="454"/>
      <c r="AZ134" s="454"/>
      <c r="BA134" s="454"/>
      <c r="BB134" s="454"/>
      <c r="BC134" s="454"/>
      <c r="BD134" s="454"/>
    </row>
    <row r="135" spans="1:56" s="75" customFormat="1" ht="19.5" thickBot="1">
      <c r="A135" s="587"/>
      <c r="B135" s="725"/>
      <c r="C135" s="726" t="s">
        <v>63</v>
      </c>
      <c r="D135" s="727">
        <f>MIN(W135:AF135)</f>
        <v>13</v>
      </c>
      <c r="E135" s="728"/>
      <c r="F135" s="729"/>
      <c r="G135" s="730"/>
      <c r="H135" s="731"/>
      <c r="I135" s="731"/>
      <c r="J135" s="732"/>
      <c r="K135" s="730"/>
      <c r="L135" s="731"/>
      <c r="M135" s="731"/>
      <c r="N135" s="731"/>
      <c r="O135" s="731"/>
      <c r="P135" s="731"/>
      <c r="Q135" s="731">
        <f>IF(Q132&gt;0,Q80,0)</f>
        <v>0</v>
      </c>
      <c r="R135" s="731">
        <f aca="true" t="shared" si="40" ref="R135:AF135">IF(R132&gt;0,R80,)</f>
        <v>0</v>
      </c>
      <c r="S135" s="731">
        <f t="shared" si="40"/>
        <v>0</v>
      </c>
      <c r="T135" s="731">
        <f t="shared" si="40"/>
        <v>0</v>
      </c>
      <c r="U135" s="731">
        <f t="shared" si="40"/>
        <v>0</v>
      </c>
      <c r="V135" s="732">
        <f t="shared" si="40"/>
        <v>0</v>
      </c>
      <c r="W135" s="731">
        <f t="shared" si="40"/>
        <v>13</v>
      </c>
      <c r="X135" s="731">
        <f t="shared" si="40"/>
        <v>14</v>
      </c>
      <c r="Y135" s="731">
        <f t="shared" si="40"/>
        <v>15</v>
      </c>
      <c r="Z135" s="731">
        <f t="shared" si="40"/>
        <v>16</v>
      </c>
      <c r="AA135" s="731">
        <f t="shared" si="40"/>
        <v>17</v>
      </c>
      <c r="AB135" s="731">
        <f t="shared" si="40"/>
        <v>18</v>
      </c>
      <c r="AC135" s="731">
        <f t="shared" si="40"/>
        <v>19</v>
      </c>
      <c r="AD135" s="731">
        <f t="shared" si="40"/>
        <v>20</v>
      </c>
      <c r="AE135" s="731">
        <f t="shared" si="40"/>
        <v>21</v>
      </c>
      <c r="AF135" s="732">
        <f t="shared" si="40"/>
        <v>22</v>
      </c>
      <c r="AG135" s="454"/>
      <c r="AH135" s="454"/>
      <c r="AI135" s="454"/>
      <c r="AJ135" s="454"/>
      <c r="AK135" s="454"/>
      <c r="AL135" s="454"/>
      <c r="AM135" s="454"/>
      <c r="AN135" s="454"/>
      <c r="AO135" s="454"/>
      <c r="AP135" s="454"/>
      <c r="AQ135" s="454"/>
      <c r="AR135" s="454"/>
      <c r="AS135" s="454"/>
      <c r="AT135" s="454"/>
      <c r="AU135" s="454"/>
      <c r="AV135" s="454"/>
      <c r="AW135" s="454"/>
      <c r="AX135" s="454"/>
      <c r="AY135" s="454"/>
      <c r="AZ135" s="454"/>
      <c r="BA135" s="454"/>
      <c r="BB135" s="454"/>
      <c r="BC135" s="454"/>
      <c r="BD135" s="454"/>
    </row>
    <row r="136" spans="1:56" ht="18.75">
      <c r="A136" s="733"/>
      <c r="B136" s="733"/>
      <c r="C136" s="418"/>
      <c r="D136" s="734"/>
      <c r="E136" s="564"/>
      <c r="F136" s="564"/>
      <c r="G136" s="564"/>
      <c r="H136" s="564"/>
      <c r="I136" s="421"/>
      <c r="J136" s="421"/>
      <c r="K136" s="420"/>
      <c r="L136" s="420"/>
      <c r="M136" s="420"/>
      <c r="N136" s="420"/>
      <c r="O136" s="420"/>
      <c r="P136" s="420"/>
      <c r="Q136" s="420"/>
      <c r="R136" s="420"/>
      <c r="S136" s="420"/>
      <c r="T136" s="420"/>
      <c r="U136" s="420"/>
      <c r="V136" s="420"/>
      <c r="W136" s="420"/>
      <c r="X136" s="420"/>
      <c r="Y136" s="420"/>
      <c r="Z136" s="420"/>
      <c r="AA136" s="420"/>
      <c r="AB136" s="420"/>
      <c r="AC136" s="420"/>
      <c r="AD136" s="420"/>
      <c r="AE136" s="420"/>
      <c r="AF136" s="420"/>
      <c r="AG136" s="420"/>
      <c r="AH136" s="420"/>
      <c r="AI136" s="420"/>
      <c r="AJ136" s="420"/>
      <c r="AK136" s="420"/>
      <c r="AL136" s="420"/>
      <c r="AM136" s="420"/>
      <c r="AN136" s="420"/>
      <c r="AO136" s="420"/>
      <c r="AP136" s="420"/>
      <c r="AQ136" s="420"/>
      <c r="AR136" s="420"/>
      <c r="AS136" s="420"/>
      <c r="AT136" s="420"/>
      <c r="AU136" s="420"/>
      <c r="AV136" s="420"/>
      <c r="AW136" s="420"/>
      <c r="AX136" s="420"/>
      <c r="AY136" s="420"/>
      <c r="AZ136" s="420"/>
      <c r="BA136" s="420"/>
      <c r="BB136" s="420"/>
      <c r="BC136" s="420"/>
      <c r="BD136" s="420"/>
    </row>
    <row r="137" spans="1:56" ht="18.75">
      <c r="A137" s="733"/>
      <c r="B137" s="733"/>
      <c r="D137" s="418" t="s">
        <v>114</v>
      </c>
      <c r="E137" s="564"/>
      <c r="F137" s="564"/>
      <c r="G137" s="564"/>
      <c r="H137" s="564"/>
      <c r="K137" s="420"/>
      <c r="L137" s="420"/>
      <c r="M137" s="420"/>
      <c r="N137" s="420"/>
      <c r="O137" s="420"/>
      <c r="P137" s="420"/>
      <c r="Q137" s="420"/>
      <c r="R137" s="420"/>
      <c r="S137" s="420"/>
      <c r="T137" s="420"/>
      <c r="U137" s="420"/>
      <c r="V137" s="420"/>
      <c r="W137" s="420"/>
      <c r="X137" s="420"/>
      <c r="Y137" s="420"/>
      <c r="Z137" s="420"/>
      <c r="AA137" s="420"/>
      <c r="AB137" s="420"/>
      <c r="AC137" s="420"/>
      <c r="AD137" s="420"/>
      <c r="AE137" s="420"/>
      <c r="AF137" s="420"/>
      <c r="AG137" s="420"/>
      <c r="AH137" s="420"/>
      <c r="AI137" s="420"/>
      <c r="AJ137" s="420"/>
      <c r="AK137" s="420"/>
      <c r="AL137" s="420"/>
      <c r="AM137" s="420"/>
      <c r="AN137" s="420"/>
      <c r="AO137" s="420"/>
      <c r="AP137" s="420"/>
      <c r="AQ137" s="420"/>
      <c r="AR137" s="420"/>
      <c r="AS137" s="420"/>
      <c r="AT137" s="420"/>
      <c r="AU137" s="420"/>
      <c r="AV137" s="420"/>
      <c r="AW137" s="420"/>
      <c r="AX137" s="420"/>
      <c r="AY137" s="420"/>
      <c r="AZ137" s="420"/>
      <c r="BA137" s="420"/>
      <c r="BB137" s="420"/>
      <c r="BC137" s="420"/>
      <c r="BD137" s="420"/>
    </row>
    <row r="138" spans="1:56" ht="18.75">
      <c r="A138" s="733"/>
      <c r="B138" s="733"/>
      <c r="D138" s="1071" t="s">
        <v>115</v>
      </c>
      <c r="E138" s="734"/>
      <c r="F138" s="564"/>
      <c r="G138" s="564"/>
      <c r="H138" s="564"/>
      <c r="I138" s="1072">
        <f>-I97</f>
        <v>-55.125</v>
      </c>
      <c r="J138" s="1072">
        <f>-J97</f>
        <v>-55.125</v>
      </c>
      <c r="K138" s="1073"/>
      <c r="L138" s="1073"/>
      <c r="M138" s="1073"/>
      <c r="N138" s="1073"/>
      <c r="O138" s="1073"/>
      <c r="P138" s="1073"/>
      <c r="Q138" s="1073"/>
      <c r="R138" s="1073"/>
      <c r="S138" s="1073"/>
      <c r="T138" s="1073"/>
      <c r="U138" s="1073"/>
      <c r="V138" s="1073"/>
      <c r="W138" s="1073"/>
      <c r="X138" s="1073"/>
      <c r="Y138" s="1073"/>
      <c r="Z138" s="1073"/>
      <c r="AA138" s="1073"/>
      <c r="AB138" s="1073"/>
      <c r="AC138" s="1073"/>
      <c r="AD138" s="1073"/>
      <c r="AE138" s="1073"/>
      <c r="AF138" s="1073"/>
      <c r="AG138" s="420"/>
      <c r="AH138" s="420"/>
      <c r="AI138" s="420"/>
      <c r="AJ138" s="420"/>
      <c r="AK138" s="420"/>
      <c r="AL138" s="420"/>
      <c r="AM138" s="420"/>
      <c r="AN138" s="420"/>
      <c r="AO138" s="420"/>
      <c r="AP138" s="420"/>
      <c r="AQ138" s="420"/>
      <c r="AR138" s="420"/>
      <c r="AS138" s="420"/>
      <c r="AT138" s="420"/>
      <c r="AU138" s="420"/>
      <c r="AV138" s="420"/>
      <c r="AW138" s="420"/>
      <c r="AX138" s="420"/>
      <c r="AY138" s="420"/>
      <c r="AZ138" s="420"/>
      <c r="BA138" s="420"/>
      <c r="BB138" s="420"/>
      <c r="BC138" s="420"/>
      <c r="BD138" s="420"/>
    </row>
    <row r="139" spans="1:56" s="75" customFormat="1" ht="18.75">
      <c r="A139" s="735"/>
      <c r="B139" s="735"/>
      <c r="D139" s="510" t="s">
        <v>116</v>
      </c>
      <c r="E139" s="734"/>
      <c r="F139" s="708"/>
      <c r="G139" s="708"/>
      <c r="H139" s="708"/>
      <c r="I139" s="1072">
        <v>0</v>
      </c>
      <c r="J139" s="1072">
        <v>0</v>
      </c>
      <c r="K139" s="1074">
        <f>-K111</f>
        <v>11.025</v>
      </c>
      <c r="L139" s="1074">
        <f aca="true" t="shared" si="41" ref="L139:AF139">-L111</f>
        <v>10.290000000000001</v>
      </c>
      <c r="M139" s="1074">
        <f t="shared" si="41"/>
        <v>9.555</v>
      </c>
      <c r="N139" s="1074">
        <f t="shared" si="41"/>
        <v>8.82</v>
      </c>
      <c r="O139" s="1074">
        <f t="shared" si="41"/>
        <v>8.084999999999999</v>
      </c>
      <c r="P139" s="1074">
        <f t="shared" si="41"/>
        <v>7.3500000000000005</v>
      </c>
      <c r="Q139" s="1074">
        <f t="shared" si="41"/>
        <v>6.615000000000001</v>
      </c>
      <c r="R139" s="1074">
        <f t="shared" si="41"/>
        <v>5.88</v>
      </c>
      <c r="S139" s="1074">
        <f t="shared" si="41"/>
        <v>5.145</v>
      </c>
      <c r="T139" s="1074">
        <f t="shared" si="41"/>
        <v>4.409999999999999</v>
      </c>
      <c r="U139" s="1074">
        <f t="shared" si="41"/>
        <v>3.6750000000000003</v>
      </c>
      <c r="V139" s="1074">
        <f t="shared" si="41"/>
        <v>2.940000000000001</v>
      </c>
      <c r="W139" s="1074">
        <f t="shared" si="41"/>
        <v>0</v>
      </c>
      <c r="X139" s="1074">
        <f t="shared" si="41"/>
        <v>0</v>
      </c>
      <c r="Y139" s="1074">
        <f t="shared" si="41"/>
        <v>0</v>
      </c>
      <c r="Z139" s="1074">
        <f t="shared" si="41"/>
        <v>0</v>
      </c>
      <c r="AA139" s="1074">
        <f t="shared" si="41"/>
        <v>0</v>
      </c>
      <c r="AB139" s="1074">
        <f t="shared" si="41"/>
        <v>0</v>
      </c>
      <c r="AC139" s="1074">
        <f t="shared" si="41"/>
        <v>0</v>
      </c>
      <c r="AD139" s="1074">
        <f t="shared" si="41"/>
        <v>0</v>
      </c>
      <c r="AE139" s="1074">
        <f t="shared" si="41"/>
        <v>0</v>
      </c>
      <c r="AF139" s="1074">
        <f t="shared" si="41"/>
        <v>0</v>
      </c>
      <c r="AG139" s="454"/>
      <c r="AH139" s="454"/>
      <c r="AI139" s="454"/>
      <c r="AJ139" s="454"/>
      <c r="AK139" s="454"/>
      <c r="AL139" s="454"/>
      <c r="AM139" s="454"/>
      <c r="AN139" s="454"/>
      <c r="AO139" s="454"/>
      <c r="AP139" s="454"/>
      <c r="AQ139" s="454"/>
      <c r="AR139" s="454"/>
      <c r="AS139" s="454"/>
      <c r="AT139" s="454"/>
      <c r="AU139" s="454"/>
      <c r="AV139" s="454"/>
      <c r="AW139" s="454"/>
      <c r="AX139" s="454"/>
      <c r="AY139" s="454"/>
      <c r="AZ139" s="454"/>
      <c r="BA139" s="454"/>
      <c r="BB139" s="454"/>
      <c r="BC139" s="454"/>
      <c r="BD139" s="454"/>
    </row>
    <row r="140" spans="1:56" s="25" customFormat="1" ht="18.75">
      <c r="A140" s="736"/>
      <c r="B140" s="736"/>
      <c r="D140" s="510" t="s">
        <v>117</v>
      </c>
      <c r="E140" s="734"/>
      <c r="F140" s="441"/>
      <c r="G140" s="452"/>
      <c r="H140" s="452"/>
      <c r="I140" s="1075"/>
      <c r="J140" s="1075"/>
      <c r="K140" s="1076">
        <f>-K110</f>
        <v>7.35</v>
      </c>
      <c r="L140" s="1076">
        <f aca="true" t="shared" si="42" ref="L140:AF140">-L110</f>
        <v>7.35</v>
      </c>
      <c r="M140" s="1076">
        <f t="shared" si="42"/>
        <v>7.35</v>
      </c>
      <c r="N140" s="1076">
        <f t="shared" si="42"/>
        <v>7.35</v>
      </c>
      <c r="O140" s="1076">
        <f t="shared" si="42"/>
        <v>7.35</v>
      </c>
      <c r="P140" s="1076">
        <f t="shared" si="42"/>
        <v>7.35</v>
      </c>
      <c r="Q140" s="1076">
        <f t="shared" si="42"/>
        <v>7.35</v>
      </c>
      <c r="R140" s="1076">
        <f t="shared" si="42"/>
        <v>7.35</v>
      </c>
      <c r="S140" s="1076">
        <f t="shared" si="42"/>
        <v>7.35</v>
      </c>
      <c r="T140" s="1076">
        <f t="shared" si="42"/>
        <v>7.35</v>
      </c>
      <c r="U140" s="1076">
        <f t="shared" si="42"/>
        <v>7.35</v>
      </c>
      <c r="V140" s="1076">
        <f t="shared" si="42"/>
        <v>7.35</v>
      </c>
      <c r="W140" s="1076">
        <f t="shared" si="42"/>
        <v>0</v>
      </c>
      <c r="X140" s="1076">
        <f t="shared" si="42"/>
        <v>0</v>
      </c>
      <c r="Y140" s="1076">
        <f t="shared" si="42"/>
        <v>0</v>
      </c>
      <c r="Z140" s="1076">
        <f t="shared" si="42"/>
        <v>0</v>
      </c>
      <c r="AA140" s="1076">
        <f t="shared" si="42"/>
        <v>0</v>
      </c>
      <c r="AB140" s="1076">
        <f t="shared" si="42"/>
        <v>0</v>
      </c>
      <c r="AC140" s="1076">
        <f t="shared" si="42"/>
        <v>0</v>
      </c>
      <c r="AD140" s="1076">
        <f t="shared" si="42"/>
        <v>0</v>
      </c>
      <c r="AE140" s="1076">
        <f t="shared" si="42"/>
        <v>0</v>
      </c>
      <c r="AF140" s="1076">
        <f t="shared" si="42"/>
        <v>0</v>
      </c>
      <c r="AG140" s="441"/>
      <c r="AH140" s="441"/>
      <c r="AI140" s="441"/>
      <c r="AJ140" s="441"/>
      <c r="AK140" s="441"/>
      <c r="AL140" s="441"/>
      <c r="AM140" s="441"/>
      <c r="AN140" s="441"/>
      <c r="AO140" s="441"/>
      <c r="AP140" s="441"/>
      <c r="AQ140" s="441"/>
      <c r="AR140" s="441"/>
      <c r="AS140" s="441"/>
      <c r="AT140" s="441"/>
      <c r="AU140" s="441"/>
      <c r="AV140" s="441"/>
      <c r="AW140" s="441"/>
      <c r="AX140" s="441"/>
      <c r="AY140" s="441"/>
      <c r="AZ140" s="441"/>
      <c r="BA140" s="441"/>
      <c r="BB140" s="441"/>
      <c r="BC140" s="441"/>
      <c r="BD140" s="441"/>
    </row>
    <row r="141" spans="1:56" ht="18.75">
      <c r="A141" s="735"/>
      <c r="B141" s="735"/>
      <c r="D141" s="1071" t="s">
        <v>118</v>
      </c>
      <c r="E141" s="564"/>
      <c r="F141" s="420"/>
      <c r="G141" s="421"/>
      <c r="H141" s="421"/>
      <c r="I141" s="1072">
        <f aca="true" t="shared" si="43" ref="I141:AF141">SUM(I138:I140)</f>
        <v>-55.125</v>
      </c>
      <c r="J141" s="1072">
        <f t="shared" si="43"/>
        <v>-55.125</v>
      </c>
      <c r="K141" s="1072">
        <f t="shared" si="43"/>
        <v>18.375</v>
      </c>
      <c r="L141" s="1072">
        <f t="shared" si="43"/>
        <v>17.64</v>
      </c>
      <c r="M141" s="1072">
        <f t="shared" si="43"/>
        <v>16.905</v>
      </c>
      <c r="N141" s="1072">
        <f t="shared" si="43"/>
        <v>16.17</v>
      </c>
      <c r="O141" s="1072">
        <f t="shared" si="43"/>
        <v>15.434999999999999</v>
      </c>
      <c r="P141" s="1072">
        <f t="shared" si="43"/>
        <v>14.7</v>
      </c>
      <c r="Q141" s="1072">
        <f t="shared" si="43"/>
        <v>13.965</v>
      </c>
      <c r="R141" s="1072">
        <f t="shared" si="43"/>
        <v>13.23</v>
      </c>
      <c r="S141" s="1072">
        <f t="shared" si="43"/>
        <v>12.495</v>
      </c>
      <c r="T141" s="1072">
        <f t="shared" si="43"/>
        <v>11.759999999999998</v>
      </c>
      <c r="U141" s="1072">
        <f t="shared" si="43"/>
        <v>11.025</v>
      </c>
      <c r="V141" s="1072">
        <f t="shared" si="43"/>
        <v>10.290000000000001</v>
      </c>
      <c r="W141" s="1072">
        <f t="shared" si="43"/>
        <v>0</v>
      </c>
      <c r="X141" s="1072">
        <f t="shared" si="43"/>
        <v>0</v>
      </c>
      <c r="Y141" s="1072">
        <f t="shared" si="43"/>
        <v>0</v>
      </c>
      <c r="Z141" s="1072">
        <f t="shared" si="43"/>
        <v>0</v>
      </c>
      <c r="AA141" s="1072">
        <f t="shared" si="43"/>
        <v>0</v>
      </c>
      <c r="AB141" s="1072">
        <f t="shared" si="43"/>
        <v>0</v>
      </c>
      <c r="AC141" s="1072">
        <f t="shared" si="43"/>
        <v>0</v>
      </c>
      <c r="AD141" s="1072">
        <f t="shared" si="43"/>
        <v>0</v>
      </c>
      <c r="AE141" s="1072">
        <f t="shared" si="43"/>
        <v>0</v>
      </c>
      <c r="AF141" s="1072">
        <f t="shared" si="43"/>
        <v>0</v>
      </c>
      <c r="AG141" s="420"/>
      <c r="AH141" s="420"/>
      <c r="AI141" s="420"/>
      <c r="AJ141" s="420"/>
      <c r="AK141" s="420"/>
      <c r="AL141" s="420"/>
      <c r="AM141" s="420"/>
      <c r="AN141" s="420"/>
      <c r="AO141" s="420"/>
      <c r="AP141" s="420"/>
      <c r="AQ141" s="420"/>
      <c r="AR141" s="420"/>
      <c r="AS141" s="420"/>
      <c r="AT141" s="420"/>
      <c r="AU141" s="420"/>
      <c r="AV141" s="420"/>
      <c r="AW141" s="420"/>
      <c r="AX141" s="420"/>
      <c r="AY141" s="420"/>
      <c r="AZ141" s="420"/>
      <c r="BA141" s="420"/>
      <c r="BB141" s="420"/>
      <c r="BC141" s="420"/>
      <c r="BD141" s="420"/>
    </row>
    <row r="142" spans="1:56" ht="18.75">
      <c r="A142" s="733"/>
      <c r="B142" s="733"/>
      <c r="D142" s="1077" t="s">
        <v>119</v>
      </c>
      <c r="E142" s="1078">
        <f>IRR(I141:AF141)</f>
        <v>0.07720866324168063</v>
      </c>
      <c r="F142" s="420"/>
      <c r="G142" s="421"/>
      <c r="H142" s="421"/>
      <c r="I142" s="421"/>
      <c r="J142" s="421"/>
      <c r="K142" s="420"/>
      <c r="L142" s="420"/>
      <c r="M142" s="420"/>
      <c r="N142" s="420"/>
      <c r="O142" s="420"/>
      <c r="P142" s="420"/>
      <c r="Q142" s="420"/>
      <c r="R142" s="420"/>
      <c r="S142" s="420"/>
      <c r="T142" s="420"/>
      <c r="U142" s="420"/>
      <c r="V142" s="420"/>
      <c r="W142" s="420"/>
      <c r="X142" s="420"/>
      <c r="Y142" s="420"/>
      <c r="Z142" s="420"/>
      <c r="AA142" s="420"/>
      <c r="AB142" s="420"/>
      <c r="AC142" s="420"/>
      <c r="AD142" s="420"/>
      <c r="AE142" s="420"/>
      <c r="AF142" s="420"/>
      <c r="AG142" s="420"/>
      <c r="AH142" s="420"/>
      <c r="AI142" s="420"/>
      <c r="AJ142" s="420"/>
      <c r="AK142" s="420"/>
      <c r="AL142" s="420"/>
      <c r="AM142" s="420"/>
      <c r="AN142" s="420"/>
      <c r="AO142" s="420"/>
      <c r="AP142" s="420"/>
      <c r="AQ142" s="420"/>
      <c r="AR142" s="420"/>
      <c r="AS142" s="420"/>
      <c r="AT142" s="420"/>
      <c r="AU142" s="420"/>
      <c r="AV142" s="420"/>
      <c r="AW142" s="420"/>
      <c r="AX142" s="420"/>
      <c r="AY142" s="420"/>
      <c r="AZ142" s="420"/>
      <c r="BA142" s="420"/>
      <c r="BB142" s="420"/>
      <c r="BC142" s="420"/>
      <c r="BD142" s="420"/>
    </row>
    <row r="143" spans="1:56" ht="18.75">
      <c r="A143" s="733"/>
      <c r="B143" s="733"/>
      <c r="D143" s="418"/>
      <c r="E143" s="423"/>
      <c r="F143" s="420"/>
      <c r="G143" s="421"/>
      <c r="H143" s="421"/>
      <c r="I143" s="421"/>
      <c r="J143" s="421"/>
      <c r="K143" s="420"/>
      <c r="L143" s="420"/>
      <c r="M143" s="420"/>
      <c r="N143" s="420"/>
      <c r="O143" s="420"/>
      <c r="P143" s="420"/>
      <c r="Q143" s="420"/>
      <c r="R143" s="420"/>
      <c r="S143" s="420"/>
      <c r="T143" s="420"/>
      <c r="U143" s="420"/>
      <c r="V143" s="420"/>
      <c r="W143" s="420"/>
      <c r="X143" s="420"/>
      <c r="Y143" s="420"/>
      <c r="Z143" s="420"/>
      <c r="AA143" s="420"/>
      <c r="AB143" s="420"/>
      <c r="AC143" s="420"/>
      <c r="AD143" s="420"/>
      <c r="AE143" s="420"/>
      <c r="AF143" s="420"/>
      <c r="AG143" s="420"/>
      <c r="AH143" s="420"/>
      <c r="AI143" s="420"/>
      <c r="AJ143" s="420"/>
      <c r="AK143" s="420"/>
      <c r="AL143" s="420"/>
      <c r="AM143" s="420"/>
      <c r="AN143" s="420"/>
      <c r="AO143" s="420"/>
      <c r="AP143" s="420"/>
      <c r="AQ143" s="420"/>
      <c r="AR143" s="420"/>
      <c r="AS143" s="420"/>
      <c r="AT143" s="420"/>
      <c r="AU143" s="420"/>
      <c r="AV143" s="420"/>
      <c r="AW143" s="420"/>
      <c r="AX143" s="420"/>
      <c r="AY143" s="420"/>
      <c r="AZ143" s="420"/>
      <c r="BA143" s="420"/>
      <c r="BB143" s="420"/>
      <c r="BC143" s="420"/>
      <c r="BD143" s="420"/>
    </row>
    <row r="144" spans="1:56" ht="18.75">
      <c r="A144" s="735"/>
      <c r="B144" s="735"/>
      <c r="C144" s="418"/>
      <c r="D144" s="1087" t="s">
        <v>120</v>
      </c>
      <c r="E144" s="1088">
        <f>SUM(K125:V125)/SUM(K110:V111)*-1</f>
        <v>1.1268572697144126</v>
      </c>
      <c r="F144" s="420"/>
      <c r="G144" s="421"/>
      <c r="H144" s="421"/>
      <c r="I144" s="421"/>
      <c r="J144" s="421"/>
      <c r="K144" s="1068"/>
      <c r="L144" s="420"/>
      <c r="M144" s="420"/>
      <c r="N144" s="420"/>
      <c r="O144" s="420"/>
      <c r="P144" s="420"/>
      <c r="Q144" s="420"/>
      <c r="R144" s="420"/>
      <c r="S144" s="420"/>
      <c r="T144" s="420"/>
      <c r="U144" s="420"/>
      <c r="V144" s="420"/>
      <c r="W144" s="420"/>
      <c r="X144" s="420"/>
      <c r="Y144" s="420"/>
      <c r="Z144" s="420"/>
      <c r="AA144" s="420"/>
      <c r="AB144" s="420"/>
      <c r="AC144" s="420"/>
      <c r="AD144" s="420"/>
      <c r="AE144" s="420"/>
      <c r="AF144" s="420"/>
      <c r="AG144" s="420"/>
      <c r="AH144" s="420"/>
      <c r="AI144" s="420"/>
      <c r="AJ144" s="420"/>
      <c r="AK144" s="420"/>
      <c r="AL144" s="420"/>
      <c r="AM144" s="420"/>
      <c r="AN144" s="420"/>
      <c r="AO144" s="420"/>
      <c r="AP144" s="420"/>
      <c r="AQ144" s="420"/>
      <c r="AR144" s="420"/>
      <c r="AS144" s="420"/>
      <c r="AT144" s="420"/>
      <c r="AU144" s="420"/>
      <c r="AV144" s="420"/>
      <c r="AW144" s="420"/>
      <c r="AX144" s="420"/>
      <c r="AY144" s="420"/>
      <c r="AZ144" s="420"/>
      <c r="BA144" s="420"/>
      <c r="BB144" s="420"/>
      <c r="BC144" s="420"/>
      <c r="BD144" s="420"/>
    </row>
    <row r="145" spans="1:56" ht="18.75">
      <c r="A145" s="733"/>
      <c r="B145" s="733"/>
      <c r="C145" s="418"/>
      <c r="D145" s="564"/>
      <c r="E145" s="1068"/>
      <c r="F145" s="420"/>
      <c r="G145" s="421"/>
      <c r="H145" s="421"/>
      <c r="I145" s="421"/>
      <c r="J145" s="421"/>
      <c r="K145" s="1068"/>
      <c r="L145" s="420"/>
      <c r="M145" s="420"/>
      <c r="N145" s="420"/>
      <c r="O145" s="420"/>
      <c r="P145" s="420"/>
      <c r="Q145" s="420"/>
      <c r="R145" s="420"/>
      <c r="S145" s="420"/>
      <c r="T145" s="420"/>
      <c r="U145" s="420"/>
      <c r="V145" s="420"/>
      <c r="W145" s="420"/>
      <c r="X145" s="420"/>
      <c r="Y145" s="420"/>
      <c r="Z145" s="420"/>
      <c r="AA145" s="420"/>
      <c r="AB145" s="420"/>
      <c r="AC145" s="420"/>
      <c r="AD145" s="420"/>
      <c r="AE145" s="420"/>
      <c r="AF145" s="420"/>
      <c r="AG145" s="420"/>
      <c r="AH145" s="420"/>
      <c r="AI145" s="420"/>
      <c r="AJ145" s="420"/>
      <c r="AK145" s="420"/>
      <c r="AL145" s="420"/>
      <c r="AM145" s="420"/>
      <c r="AN145" s="420"/>
      <c r="AO145" s="420"/>
      <c r="AP145" s="420"/>
      <c r="AQ145" s="420"/>
      <c r="AR145" s="420"/>
      <c r="AS145" s="420"/>
      <c r="AT145" s="420"/>
      <c r="AU145" s="420"/>
      <c r="AV145" s="420"/>
      <c r="AW145" s="420"/>
      <c r="AX145" s="420"/>
      <c r="AY145" s="420"/>
      <c r="AZ145" s="420"/>
      <c r="BA145" s="420"/>
      <c r="BB145" s="420"/>
      <c r="BC145" s="420"/>
      <c r="BD145" s="420"/>
    </row>
    <row r="146" spans="1:56" ht="18.75">
      <c r="A146" s="733"/>
      <c r="B146" s="733"/>
      <c r="C146" s="418"/>
      <c r="D146" s="564"/>
      <c r="E146" s="420"/>
      <c r="F146" s="420"/>
      <c r="G146" s="421"/>
      <c r="H146" s="421"/>
      <c r="I146" s="421"/>
      <c r="J146" s="421"/>
      <c r="K146" s="420"/>
      <c r="L146" s="420"/>
      <c r="M146" s="420"/>
      <c r="N146" s="420"/>
      <c r="O146" s="420"/>
      <c r="P146" s="420"/>
      <c r="Q146" s="420"/>
      <c r="R146" s="420"/>
      <c r="S146" s="420"/>
      <c r="T146" s="420"/>
      <c r="U146" s="420"/>
      <c r="V146" s="420"/>
      <c r="W146" s="420"/>
      <c r="X146" s="420"/>
      <c r="Y146" s="420"/>
      <c r="Z146" s="420"/>
      <c r="AA146" s="420"/>
      <c r="AB146" s="420"/>
      <c r="AC146" s="420"/>
      <c r="AD146" s="420"/>
      <c r="AE146" s="420"/>
      <c r="AF146" s="420"/>
      <c r="AG146" s="420"/>
      <c r="AH146" s="420"/>
      <c r="AI146" s="420"/>
      <c r="AJ146" s="420"/>
      <c r="AK146" s="420"/>
      <c r="AL146" s="420"/>
      <c r="AM146" s="420"/>
      <c r="AN146" s="420"/>
      <c r="AO146" s="420"/>
      <c r="AP146" s="420"/>
      <c r="AQ146" s="420"/>
      <c r="AR146" s="420"/>
      <c r="AS146" s="420"/>
      <c r="AT146" s="420"/>
      <c r="AU146" s="420"/>
      <c r="AV146" s="420"/>
      <c r="AW146" s="420"/>
      <c r="AX146" s="420"/>
      <c r="AY146" s="420"/>
      <c r="AZ146" s="420"/>
      <c r="BA146" s="420"/>
      <c r="BB146" s="420"/>
      <c r="BC146" s="420"/>
      <c r="BD146" s="420"/>
    </row>
    <row r="147" spans="1:56" ht="18.75">
      <c r="A147" s="735"/>
      <c r="B147" s="735"/>
      <c r="C147" s="418"/>
      <c r="D147" s="564"/>
      <c r="E147" s="420"/>
      <c r="F147" s="420"/>
      <c r="G147" s="421"/>
      <c r="H147" s="421"/>
      <c r="I147" s="421"/>
      <c r="J147" s="421"/>
      <c r="K147" s="420"/>
      <c r="L147" s="420"/>
      <c r="M147" s="420"/>
      <c r="N147" s="420"/>
      <c r="O147" s="420"/>
      <c r="P147" s="420"/>
      <c r="Q147" s="420"/>
      <c r="R147" s="420"/>
      <c r="S147" s="420"/>
      <c r="T147" s="420"/>
      <c r="U147" s="420"/>
      <c r="V147" s="420"/>
      <c r="W147" s="420"/>
      <c r="X147" s="420"/>
      <c r="Y147" s="420"/>
      <c r="Z147" s="420"/>
      <c r="AA147" s="420"/>
      <c r="AB147" s="420"/>
      <c r="AC147" s="420"/>
      <c r="AD147" s="420"/>
      <c r="AE147" s="420"/>
      <c r="AF147" s="420"/>
      <c r="AG147" s="420"/>
      <c r="AH147" s="420"/>
      <c r="AI147" s="420"/>
      <c r="AJ147" s="420"/>
      <c r="AK147" s="420"/>
      <c r="AL147" s="420"/>
      <c r="AM147" s="420"/>
      <c r="AN147" s="420"/>
      <c r="AO147" s="420"/>
      <c r="AP147" s="420"/>
      <c r="AQ147" s="420"/>
      <c r="AR147" s="420"/>
      <c r="AS147" s="420"/>
      <c r="AT147" s="420"/>
      <c r="AU147" s="420"/>
      <c r="AV147" s="420"/>
      <c r="AW147" s="420"/>
      <c r="AX147" s="420"/>
      <c r="AY147" s="420"/>
      <c r="AZ147" s="420"/>
      <c r="BA147" s="420"/>
      <c r="BB147" s="420"/>
      <c r="BC147" s="420"/>
      <c r="BD147" s="420"/>
    </row>
    <row r="148" spans="1:56" ht="18.75">
      <c r="A148" s="733"/>
      <c r="B148" s="733"/>
      <c r="C148" s="418"/>
      <c r="D148" s="564"/>
      <c r="E148" s="420"/>
      <c r="F148" s="420"/>
      <c r="G148" s="421"/>
      <c r="H148" s="421"/>
      <c r="I148" s="421"/>
      <c r="J148" s="421"/>
      <c r="K148" s="420"/>
      <c r="L148" s="420"/>
      <c r="M148" s="420"/>
      <c r="N148" s="420"/>
      <c r="O148" s="420"/>
      <c r="P148" s="420"/>
      <c r="Q148" s="420"/>
      <c r="R148" s="420"/>
      <c r="S148" s="420"/>
      <c r="T148" s="420"/>
      <c r="U148" s="420"/>
      <c r="V148" s="420"/>
      <c r="W148" s="420"/>
      <c r="X148" s="420"/>
      <c r="Y148" s="420"/>
      <c r="Z148" s="420"/>
      <c r="AA148" s="420"/>
      <c r="AB148" s="420"/>
      <c r="AC148" s="420"/>
      <c r="AD148" s="420"/>
      <c r="AE148" s="420"/>
      <c r="AF148" s="420"/>
      <c r="AG148" s="420"/>
      <c r="AH148" s="420"/>
      <c r="AI148" s="420"/>
      <c r="AJ148" s="420"/>
      <c r="AK148" s="420"/>
      <c r="AL148" s="420"/>
      <c r="AM148" s="420"/>
      <c r="AN148" s="420"/>
      <c r="AO148" s="420"/>
      <c r="AP148" s="420"/>
      <c r="AQ148" s="420"/>
      <c r="AR148" s="420"/>
      <c r="AS148" s="420"/>
      <c r="AT148" s="420"/>
      <c r="AU148" s="420"/>
      <c r="AV148" s="420"/>
      <c r="AW148" s="420"/>
      <c r="AX148" s="420"/>
      <c r="AY148" s="420"/>
      <c r="AZ148" s="420"/>
      <c r="BA148" s="420"/>
      <c r="BB148" s="420"/>
      <c r="BC148" s="420"/>
      <c r="BD148" s="420"/>
    </row>
    <row r="149" spans="1:56" ht="18.75">
      <c r="A149" s="733"/>
      <c r="B149" s="733"/>
      <c r="C149" s="418"/>
      <c r="D149" s="564"/>
      <c r="E149" s="420"/>
      <c r="F149" s="420"/>
      <c r="G149" s="421"/>
      <c r="H149" s="421"/>
      <c r="I149" s="421"/>
      <c r="J149" s="421"/>
      <c r="K149" s="420"/>
      <c r="L149" s="420"/>
      <c r="M149" s="420"/>
      <c r="N149" s="420"/>
      <c r="O149" s="420"/>
      <c r="P149" s="420"/>
      <c r="Q149" s="420"/>
      <c r="R149" s="420"/>
      <c r="S149" s="420"/>
      <c r="T149" s="420"/>
      <c r="U149" s="420"/>
      <c r="V149" s="420"/>
      <c r="W149" s="420"/>
      <c r="X149" s="420"/>
      <c r="Y149" s="420"/>
      <c r="Z149" s="420"/>
      <c r="AA149" s="420"/>
      <c r="AB149" s="420"/>
      <c r="AC149" s="420"/>
      <c r="AD149" s="420"/>
      <c r="AE149" s="420"/>
      <c r="AF149" s="420"/>
      <c r="AG149" s="420"/>
      <c r="AH149" s="420"/>
      <c r="AI149" s="420"/>
      <c r="AJ149" s="420"/>
      <c r="AK149" s="420"/>
      <c r="AL149" s="420"/>
      <c r="AM149" s="420"/>
      <c r="AN149" s="420"/>
      <c r="AO149" s="420"/>
      <c r="AP149" s="420"/>
      <c r="AQ149" s="420"/>
      <c r="AR149" s="420"/>
      <c r="AS149" s="420"/>
      <c r="AT149" s="420"/>
      <c r="AU149" s="420"/>
      <c r="AV149" s="420"/>
      <c r="AW149" s="420"/>
      <c r="AX149" s="420"/>
      <c r="AY149" s="420"/>
      <c r="AZ149" s="420"/>
      <c r="BA149" s="420"/>
      <c r="BB149" s="420"/>
      <c r="BC149" s="420"/>
      <c r="BD149" s="420"/>
    </row>
    <row r="150" spans="1:56" s="75" customFormat="1" ht="18.75">
      <c r="A150" s="735"/>
      <c r="B150" s="735"/>
      <c r="C150" s="441"/>
      <c r="D150" s="734"/>
      <c r="E150" s="440"/>
      <c r="F150" s="454"/>
      <c r="G150" s="440"/>
      <c r="H150" s="440"/>
      <c r="I150" s="440"/>
      <c r="J150" s="440"/>
      <c r="K150" s="454"/>
      <c r="L150" s="454"/>
      <c r="M150" s="454"/>
      <c r="N150" s="454"/>
      <c r="O150" s="454"/>
      <c r="P150" s="454"/>
      <c r="Q150" s="454"/>
      <c r="R150" s="454"/>
      <c r="S150" s="454"/>
      <c r="T150" s="454"/>
      <c r="U150" s="454"/>
      <c r="V150" s="454"/>
      <c r="W150" s="454"/>
      <c r="X150" s="454"/>
      <c r="Y150" s="454"/>
      <c r="Z150" s="454"/>
      <c r="AA150" s="454"/>
      <c r="AB150" s="454"/>
      <c r="AC150" s="454"/>
      <c r="AD150" s="454"/>
      <c r="AE150" s="454"/>
      <c r="AF150" s="454"/>
      <c r="AG150" s="454"/>
      <c r="AH150" s="454"/>
      <c r="AI150" s="454"/>
      <c r="AJ150" s="454"/>
      <c r="AK150" s="454"/>
      <c r="AL150" s="454"/>
      <c r="AM150" s="454"/>
      <c r="AN150" s="454"/>
      <c r="AO150" s="454"/>
      <c r="AP150" s="454"/>
      <c r="AQ150" s="454"/>
      <c r="AR150" s="454"/>
      <c r="AS150" s="454"/>
      <c r="AT150" s="454"/>
      <c r="AU150" s="454"/>
      <c r="AV150" s="454"/>
      <c r="AW150" s="454"/>
      <c r="AX150" s="454"/>
      <c r="AY150" s="454"/>
      <c r="AZ150" s="454"/>
      <c r="BA150" s="454"/>
      <c r="BB150" s="454"/>
      <c r="BC150" s="454"/>
      <c r="BD150" s="454"/>
    </row>
    <row r="151" spans="1:56" ht="18.75">
      <c r="A151" s="733"/>
      <c r="B151" s="733"/>
      <c r="C151" s="418"/>
      <c r="D151" s="423"/>
      <c r="E151" s="421"/>
      <c r="F151" s="420"/>
      <c r="G151" s="421"/>
      <c r="H151" s="421"/>
      <c r="I151" s="421"/>
      <c r="J151" s="421"/>
      <c r="K151" s="420"/>
      <c r="L151" s="420"/>
      <c r="M151" s="420"/>
      <c r="N151" s="420"/>
      <c r="O151" s="420"/>
      <c r="P151" s="420"/>
      <c r="Q151" s="420"/>
      <c r="R151" s="420"/>
      <c r="S151" s="420"/>
      <c r="T151" s="420"/>
      <c r="U151" s="420"/>
      <c r="V151" s="420"/>
      <c r="W151" s="420"/>
      <c r="X151" s="420"/>
      <c r="Y151" s="420"/>
      <c r="Z151" s="420"/>
      <c r="AA151" s="420"/>
      <c r="AB151" s="420"/>
      <c r="AC151" s="420"/>
      <c r="AD151" s="420"/>
      <c r="AE151" s="420"/>
      <c r="AF151" s="420"/>
      <c r="AG151" s="420"/>
      <c r="AH151" s="420"/>
      <c r="AI151" s="420"/>
      <c r="AJ151" s="420"/>
      <c r="AK151" s="420"/>
      <c r="AL151" s="420"/>
      <c r="AM151" s="420"/>
      <c r="AN151" s="420"/>
      <c r="AO151" s="420"/>
      <c r="AP151" s="420"/>
      <c r="AQ151" s="420"/>
      <c r="AR151" s="420"/>
      <c r="AS151" s="420"/>
      <c r="AT151" s="420"/>
      <c r="AU151" s="420"/>
      <c r="AV151" s="420"/>
      <c r="AW151" s="420"/>
      <c r="AX151" s="420"/>
      <c r="AY151" s="420"/>
      <c r="AZ151" s="420"/>
      <c r="BA151" s="420"/>
      <c r="BB151" s="420"/>
      <c r="BC151" s="420"/>
      <c r="BD151" s="420"/>
    </row>
    <row r="152" spans="1:56" ht="18.75">
      <c r="A152" s="733"/>
      <c r="B152" s="733"/>
      <c r="C152" s="418"/>
      <c r="D152" s="423"/>
      <c r="E152" s="421"/>
      <c r="F152" s="420"/>
      <c r="G152" s="421"/>
      <c r="H152" s="421"/>
      <c r="I152" s="421"/>
      <c r="J152" s="421"/>
      <c r="K152" s="420"/>
      <c r="L152" s="420"/>
      <c r="M152" s="420"/>
      <c r="N152" s="420"/>
      <c r="O152" s="420"/>
      <c r="P152" s="420"/>
      <c r="Q152" s="420"/>
      <c r="R152" s="420"/>
      <c r="S152" s="420"/>
      <c r="T152" s="420"/>
      <c r="U152" s="420"/>
      <c r="V152" s="420"/>
      <c r="W152" s="420"/>
      <c r="X152" s="420"/>
      <c r="Y152" s="420"/>
      <c r="Z152" s="420"/>
      <c r="AA152" s="420"/>
      <c r="AB152" s="420"/>
      <c r="AC152" s="420"/>
      <c r="AD152" s="420"/>
      <c r="AE152" s="420"/>
      <c r="AF152" s="420"/>
      <c r="AG152" s="420"/>
      <c r="AH152" s="420"/>
      <c r="AI152" s="420"/>
      <c r="AJ152" s="420"/>
      <c r="AK152" s="420"/>
      <c r="AL152" s="420"/>
      <c r="AM152" s="420"/>
      <c r="AN152" s="420"/>
      <c r="AO152" s="420"/>
      <c r="AP152" s="420"/>
      <c r="AQ152" s="420"/>
      <c r="AR152" s="420"/>
      <c r="AS152" s="420"/>
      <c r="AT152" s="420"/>
      <c r="AU152" s="420"/>
      <c r="AV152" s="420"/>
      <c r="AW152" s="420"/>
      <c r="AX152" s="420"/>
      <c r="AY152" s="420"/>
      <c r="AZ152" s="420"/>
      <c r="BA152" s="420"/>
      <c r="BB152" s="420"/>
      <c r="BC152" s="420"/>
      <c r="BD152" s="420"/>
    </row>
    <row r="153" spans="1:56" ht="18.75">
      <c r="A153" s="733"/>
      <c r="B153" s="733"/>
      <c r="C153" s="418"/>
      <c r="D153" s="423"/>
      <c r="E153" s="421"/>
      <c r="F153" s="420"/>
      <c r="G153" s="421"/>
      <c r="H153" s="421"/>
      <c r="I153" s="421"/>
      <c r="J153" s="421"/>
      <c r="K153" s="420"/>
      <c r="L153" s="420"/>
      <c r="M153" s="420"/>
      <c r="N153" s="420"/>
      <c r="O153" s="420"/>
      <c r="P153" s="420"/>
      <c r="Q153" s="420"/>
      <c r="R153" s="420"/>
      <c r="S153" s="420"/>
      <c r="T153" s="420"/>
      <c r="U153" s="420"/>
      <c r="V153" s="420"/>
      <c r="W153" s="420"/>
      <c r="X153" s="420"/>
      <c r="Y153" s="420"/>
      <c r="Z153" s="420"/>
      <c r="AA153" s="420"/>
      <c r="AB153" s="420"/>
      <c r="AC153" s="420"/>
      <c r="AD153" s="420"/>
      <c r="AE153" s="420"/>
      <c r="AF153" s="420"/>
      <c r="AG153" s="420"/>
      <c r="AH153" s="420"/>
      <c r="AI153" s="420"/>
      <c r="AJ153" s="420"/>
      <c r="AK153" s="420"/>
      <c r="AL153" s="420"/>
      <c r="AM153" s="420"/>
      <c r="AN153" s="420"/>
      <c r="AO153" s="420"/>
      <c r="AP153" s="420"/>
      <c r="AQ153" s="420"/>
      <c r="AR153" s="420"/>
      <c r="AS153" s="420"/>
      <c r="AT153" s="420"/>
      <c r="AU153" s="420"/>
      <c r="AV153" s="420"/>
      <c r="AW153" s="420"/>
      <c r="AX153" s="420"/>
      <c r="AY153" s="420"/>
      <c r="AZ153" s="420"/>
      <c r="BA153" s="420"/>
      <c r="BB153" s="420"/>
      <c r="BC153" s="420"/>
      <c r="BD153" s="420"/>
    </row>
    <row r="154" spans="1:56" ht="18.75">
      <c r="A154" s="733"/>
      <c r="B154" s="733"/>
      <c r="C154" s="418"/>
      <c r="D154" s="423"/>
      <c r="E154" s="421"/>
      <c r="F154" s="420"/>
      <c r="G154" s="421"/>
      <c r="H154" s="421"/>
      <c r="I154" s="421"/>
      <c r="J154" s="421"/>
      <c r="K154" s="420"/>
      <c r="L154" s="420"/>
      <c r="M154" s="420"/>
      <c r="N154" s="420"/>
      <c r="O154" s="420"/>
      <c r="P154" s="420"/>
      <c r="Q154" s="420"/>
      <c r="R154" s="420"/>
      <c r="S154" s="420"/>
      <c r="T154" s="420"/>
      <c r="U154" s="420"/>
      <c r="V154" s="420"/>
      <c r="W154" s="420"/>
      <c r="X154" s="420"/>
      <c r="Y154" s="420"/>
      <c r="Z154" s="420"/>
      <c r="AA154" s="420"/>
      <c r="AB154" s="420"/>
      <c r="AC154" s="420"/>
      <c r="AD154" s="420"/>
      <c r="AE154" s="420"/>
      <c r="AF154" s="420"/>
      <c r="AG154" s="420"/>
      <c r="AH154" s="420"/>
      <c r="AI154" s="420"/>
      <c r="AJ154" s="420"/>
      <c r="AK154" s="420"/>
      <c r="AL154" s="420"/>
      <c r="AM154" s="420"/>
      <c r="AN154" s="420"/>
      <c r="AO154" s="420"/>
      <c r="AP154" s="420"/>
      <c r="AQ154" s="420"/>
      <c r="AR154" s="420"/>
      <c r="AS154" s="420"/>
      <c r="AT154" s="420"/>
      <c r="AU154" s="420"/>
      <c r="AV154" s="420"/>
      <c r="AW154" s="420"/>
      <c r="AX154" s="420"/>
      <c r="AY154" s="420"/>
      <c r="AZ154" s="420"/>
      <c r="BA154" s="420"/>
      <c r="BB154" s="420"/>
      <c r="BC154" s="420"/>
      <c r="BD154" s="420"/>
    </row>
    <row r="155" spans="1:56" ht="18.75">
      <c r="A155" s="733"/>
      <c r="B155" s="733"/>
      <c r="C155" s="418"/>
      <c r="D155" s="423"/>
      <c r="E155" s="421"/>
      <c r="F155" s="420"/>
      <c r="G155" s="421"/>
      <c r="H155" s="421"/>
      <c r="I155" s="421"/>
      <c r="J155" s="421"/>
      <c r="K155" s="420"/>
      <c r="L155" s="420"/>
      <c r="M155" s="420"/>
      <c r="N155" s="420"/>
      <c r="O155" s="420"/>
      <c r="P155" s="420"/>
      <c r="Q155" s="420"/>
      <c r="R155" s="420"/>
      <c r="S155" s="420"/>
      <c r="T155" s="420"/>
      <c r="U155" s="420"/>
      <c r="V155" s="420"/>
      <c r="W155" s="420"/>
      <c r="X155" s="420"/>
      <c r="Y155" s="420"/>
      <c r="Z155" s="420"/>
      <c r="AA155" s="420"/>
      <c r="AB155" s="420"/>
      <c r="AC155" s="420"/>
      <c r="AD155" s="420"/>
      <c r="AE155" s="420"/>
      <c r="AF155" s="420"/>
      <c r="AG155" s="420"/>
      <c r="AH155" s="420"/>
      <c r="AI155" s="420"/>
      <c r="AJ155" s="420"/>
      <c r="AK155" s="420"/>
      <c r="AL155" s="420"/>
      <c r="AM155" s="420"/>
      <c r="AN155" s="420"/>
      <c r="AO155" s="420"/>
      <c r="AP155" s="420"/>
      <c r="AQ155" s="420"/>
      <c r="AR155" s="420"/>
      <c r="AS155" s="420"/>
      <c r="AT155" s="420"/>
      <c r="AU155" s="420"/>
      <c r="AV155" s="420"/>
      <c r="AW155" s="420"/>
      <c r="AX155" s="420"/>
      <c r="AY155" s="420"/>
      <c r="AZ155" s="420"/>
      <c r="BA155" s="420"/>
      <c r="BB155" s="420"/>
      <c r="BC155" s="420"/>
      <c r="BD155" s="420"/>
    </row>
    <row r="156" spans="1:56" s="75" customFormat="1" ht="18.75">
      <c r="A156" s="451"/>
      <c r="B156" s="451"/>
      <c r="C156" s="441"/>
      <c r="D156" s="734"/>
      <c r="E156" s="440"/>
      <c r="F156" s="454"/>
      <c r="G156" s="440"/>
      <c r="H156" s="440"/>
      <c r="I156" s="440"/>
      <c r="J156" s="440"/>
      <c r="K156" s="454"/>
      <c r="L156" s="454"/>
      <c r="M156" s="454"/>
      <c r="N156" s="454"/>
      <c r="O156" s="454"/>
      <c r="P156" s="454"/>
      <c r="Q156" s="454"/>
      <c r="R156" s="454"/>
      <c r="S156" s="454"/>
      <c r="T156" s="454"/>
      <c r="U156" s="454"/>
      <c r="V156" s="454"/>
      <c r="W156" s="454"/>
      <c r="X156" s="454"/>
      <c r="Y156" s="454"/>
      <c r="Z156" s="454"/>
      <c r="AA156" s="454"/>
      <c r="AB156" s="454"/>
      <c r="AC156" s="454"/>
      <c r="AD156" s="454"/>
      <c r="AE156" s="454"/>
      <c r="AF156" s="454"/>
      <c r="AG156" s="454"/>
      <c r="AH156" s="454"/>
      <c r="AI156" s="454"/>
      <c r="AJ156" s="454"/>
      <c r="AK156" s="454"/>
      <c r="AL156" s="454"/>
      <c r="AM156" s="454"/>
      <c r="AN156" s="454"/>
      <c r="AO156" s="454"/>
      <c r="AP156" s="454"/>
      <c r="AQ156" s="454"/>
      <c r="AR156" s="454"/>
      <c r="AS156" s="454"/>
      <c r="AT156" s="454"/>
      <c r="AU156" s="454"/>
      <c r="AV156" s="454"/>
      <c r="AW156" s="454"/>
      <c r="AX156" s="454"/>
      <c r="AY156" s="454"/>
      <c r="AZ156" s="454"/>
      <c r="BA156" s="454"/>
      <c r="BB156" s="454"/>
      <c r="BC156" s="454"/>
      <c r="BD156" s="454"/>
    </row>
    <row r="157" spans="1:56" ht="18.75">
      <c r="A157" s="417"/>
      <c r="B157" s="417"/>
      <c r="C157" s="418"/>
      <c r="D157" s="419"/>
      <c r="E157" s="420"/>
      <c r="F157" s="420"/>
      <c r="G157" s="421"/>
      <c r="H157" s="421"/>
      <c r="I157" s="421"/>
      <c r="J157" s="421"/>
      <c r="K157" s="420"/>
      <c r="L157" s="420"/>
      <c r="M157" s="420"/>
      <c r="N157" s="420"/>
      <c r="O157" s="420"/>
      <c r="P157" s="420"/>
      <c r="Q157" s="420"/>
      <c r="R157" s="420"/>
      <c r="S157" s="420"/>
      <c r="T157" s="420"/>
      <c r="U157" s="420"/>
      <c r="V157" s="420"/>
      <c r="W157" s="420"/>
      <c r="X157" s="420"/>
      <c r="Y157" s="420"/>
      <c r="Z157" s="420"/>
      <c r="AA157" s="420"/>
      <c r="AB157" s="420"/>
      <c r="AC157" s="420"/>
      <c r="AD157" s="420"/>
      <c r="AE157" s="420"/>
      <c r="AF157" s="420"/>
      <c r="AG157" s="420"/>
      <c r="AH157" s="420"/>
      <c r="AI157" s="420"/>
      <c r="AJ157" s="420"/>
      <c r="AK157" s="420"/>
      <c r="AL157" s="420"/>
      <c r="AM157" s="420"/>
      <c r="AN157" s="420"/>
      <c r="AO157" s="420"/>
      <c r="AP157" s="420"/>
      <c r="AQ157" s="420"/>
      <c r="AR157" s="420"/>
      <c r="AS157" s="420"/>
      <c r="AT157" s="420"/>
      <c r="AU157" s="420"/>
      <c r="AV157" s="420"/>
      <c r="AW157" s="420"/>
      <c r="AX157" s="420"/>
      <c r="AY157" s="420"/>
      <c r="AZ157" s="420"/>
      <c r="BA157" s="420"/>
      <c r="BB157" s="420"/>
      <c r="BC157" s="420"/>
      <c r="BD157" s="420"/>
    </row>
    <row r="158" spans="1:56" ht="18.75">
      <c r="A158" s="417"/>
      <c r="B158" s="417"/>
      <c r="C158" s="418"/>
      <c r="D158" s="419"/>
      <c r="E158" s="420"/>
      <c r="F158" s="420"/>
      <c r="G158" s="421"/>
      <c r="H158" s="421"/>
      <c r="I158" s="421"/>
      <c r="J158" s="421"/>
      <c r="K158" s="420"/>
      <c r="L158" s="420"/>
      <c r="M158" s="420"/>
      <c r="N158" s="420"/>
      <c r="O158" s="420"/>
      <c r="P158" s="420"/>
      <c r="Q158" s="420"/>
      <c r="R158" s="420"/>
      <c r="S158" s="420"/>
      <c r="T158" s="420"/>
      <c r="U158" s="420"/>
      <c r="V158" s="420"/>
      <c r="W158" s="420"/>
      <c r="X158" s="420"/>
      <c r="Y158" s="420"/>
      <c r="Z158" s="420"/>
      <c r="AA158" s="420"/>
      <c r="AB158" s="420"/>
      <c r="AC158" s="420"/>
      <c r="AD158" s="420"/>
      <c r="AE158" s="420"/>
      <c r="AF158" s="420"/>
      <c r="AG158" s="420"/>
      <c r="AH158" s="420"/>
      <c r="AI158" s="420"/>
      <c r="AJ158" s="420"/>
      <c r="AK158" s="420"/>
      <c r="AL158" s="420"/>
      <c r="AM158" s="420"/>
      <c r="AN158" s="420"/>
      <c r="AO158" s="420"/>
      <c r="AP158" s="420"/>
      <c r="AQ158" s="420"/>
      <c r="AR158" s="420"/>
      <c r="AS158" s="420"/>
      <c r="AT158" s="420"/>
      <c r="AU158" s="420"/>
      <c r="AV158" s="420"/>
      <c r="AW158" s="420"/>
      <c r="AX158" s="420"/>
      <c r="AY158" s="420"/>
      <c r="AZ158" s="420"/>
      <c r="BA158" s="420"/>
      <c r="BB158" s="420"/>
      <c r="BC158" s="420"/>
      <c r="BD158" s="420"/>
    </row>
    <row r="159" spans="1:56" ht="18.75">
      <c r="A159" s="417"/>
      <c r="B159" s="417"/>
      <c r="C159" s="418"/>
      <c r="D159" s="419"/>
      <c r="E159" s="420"/>
      <c r="F159" s="420"/>
      <c r="G159" s="421"/>
      <c r="H159" s="421"/>
      <c r="I159" s="421"/>
      <c r="J159" s="421"/>
      <c r="K159" s="420"/>
      <c r="L159" s="420"/>
      <c r="M159" s="420"/>
      <c r="N159" s="420"/>
      <c r="O159" s="420"/>
      <c r="P159" s="420"/>
      <c r="Q159" s="420"/>
      <c r="R159" s="420"/>
      <c r="S159" s="420"/>
      <c r="T159" s="420"/>
      <c r="U159" s="420"/>
      <c r="V159" s="420"/>
      <c r="W159" s="420"/>
      <c r="X159" s="420"/>
      <c r="Y159" s="420"/>
      <c r="Z159" s="420"/>
      <c r="AA159" s="420"/>
      <c r="AB159" s="420"/>
      <c r="AC159" s="420"/>
      <c r="AD159" s="420"/>
      <c r="AE159" s="420"/>
      <c r="AF159" s="420"/>
      <c r="AG159" s="420"/>
      <c r="AH159" s="420"/>
      <c r="AI159" s="420"/>
      <c r="AJ159" s="420"/>
      <c r="AK159" s="420"/>
      <c r="AL159" s="420"/>
      <c r="AM159" s="420"/>
      <c r="AN159" s="420"/>
      <c r="AO159" s="420"/>
      <c r="AP159" s="420"/>
      <c r="AQ159" s="420"/>
      <c r="AR159" s="420"/>
      <c r="AS159" s="420"/>
      <c r="AT159" s="420"/>
      <c r="AU159" s="420"/>
      <c r="AV159" s="420"/>
      <c r="AW159" s="420"/>
      <c r="AX159" s="420"/>
      <c r="AY159" s="420"/>
      <c r="AZ159" s="420"/>
      <c r="BA159" s="420"/>
      <c r="BB159" s="420"/>
      <c r="BC159" s="420"/>
      <c r="BD159" s="420"/>
    </row>
  </sheetData>
  <sheetProtection/>
  <printOptions horizontalCentered="1"/>
  <pageMargins left="0.75" right="0.75" top="1" bottom="1" header="0.5" footer="0.5"/>
  <pageSetup fitToHeight="2" fitToWidth="1" horizontalDpi="600" verticalDpi="600" orientation="landscape" paperSize="5" scale="33"/>
  <headerFooter alignWithMargins="0">
    <oddHeader>&amp;LSPC&amp;RSAMRA BOT</oddHeader>
    <oddFooter>&amp;L&amp;F/&amp;A&amp;C&amp;P/&amp;N&amp;R&amp;D/&amp;T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I156"/>
  <sheetViews>
    <sheetView showGridLines="0" zoomScale="75" zoomScaleNormal="75" zoomScalePageLayoutView="75" workbookViewId="0" topLeftCell="A24">
      <selection activeCell="A33" sqref="A33"/>
    </sheetView>
  </sheetViews>
  <sheetFormatPr defaultColWidth="8.8515625" defaultRowHeight="12.75"/>
  <cols>
    <col min="1" max="1" width="6.28125" style="1" customWidth="1"/>
    <col min="2" max="2" width="4.421875" style="1" customWidth="1"/>
    <col min="3" max="3" width="65.140625" style="2" customWidth="1"/>
    <col min="4" max="4" width="13.8515625" style="3" bestFit="1" customWidth="1"/>
    <col min="5" max="5" width="21.00390625" style="4" customWidth="1"/>
    <col min="6" max="6" width="13.7109375" style="4" bestFit="1" customWidth="1"/>
    <col min="7" max="7" width="12.421875" style="5" customWidth="1"/>
    <col min="8" max="10" width="12.00390625" style="5" bestFit="1" customWidth="1"/>
    <col min="11" max="11" width="11.8515625" style="4" customWidth="1"/>
    <col min="12" max="32" width="12.00390625" style="4" bestFit="1" customWidth="1"/>
    <col min="33" max="16384" width="8.8515625" style="4" customWidth="1"/>
  </cols>
  <sheetData>
    <row r="1" spans="1:10" s="47" customFormat="1" ht="18">
      <c r="A1" s="1051" t="s">
        <v>35</v>
      </c>
      <c r="B1" s="1052"/>
      <c r="C1" s="1053"/>
      <c r="D1" s="1054"/>
      <c r="G1" s="281"/>
      <c r="H1" s="281"/>
      <c r="I1" s="281"/>
      <c r="J1" s="281"/>
    </row>
    <row r="2" spans="1:10" s="47" customFormat="1" ht="18">
      <c r="A2" s="1055"/>
      <c r="B2" s="1052"/>
      <c r="C2" s="1053"/>
      <c r="D2" s="1054"/>
      <c r="G2" s="281"/>
      <c r="H2" s="281"/>
      <c r="I2" s="281"/>
      <c r="J2" s="281"/>
    </row>
    <row r="3" spans="1:10" s="47" customFormat="1" ht="18">
      <c r="A3" s="1051" t="s">
        <v>30</v>
      </c>
      <c r="B3" s="1052"/>
      <c r="C3" s="1053"/>
      <c r="D3" s="1056"/>
      <c r="G3" s="281"/>
      <c r="H3" s="281"/>
      <c r="I3" s="281"/>
      <c r="J3" s="281"/>
    </row>
    <row r="4" spans="1:4" ht="18" thickBot="1">
      <c r="A4" s="6"/>
      <c r="D4" s="151"/>
    </row>
    <row r="5" spans="1:5" ht="18" thickBot="1">
      <c r="A5" s="259"/>
      <c r="B5" s="65"/>
      <c r="C5" s="260"/>
      <c r="D5" s="145"/>
      <c r="E5" s="261"/>
    </row>
    <row r="6" spans="1:10" s="334" customFormat="1" ht="18" thickBot="1">
      <c r="A6" s="262" t="s">
        <v>40</v>
      </c>
      <c r="B6" s="362"/>
      <c r="C6" s="363"/>
      <c r="D6" s="313">
        <v>4</v>
      </c>
      <c r="E6" s="360" t="s">
        <v>41</v>
      </c>
      <c r="G6" s="365"/>
      <c r="H6" s="365"/>
      <c r="I6" s="365"/>
      <c r="J6" s="365"/>
    </row>
    <row r="7" spans="1:5" ht="17.25">
      <c r="A7" s="263"/>
      <c r="B7" s="228"/>
      <c r="C7" s="229"/>
      <c r="D7" s="199"/>
      <c r="E7" s="152"/>
    </row>
    <row r="8" spans="1:11" ht="17.25" thickBot="1">
      <c r="A8" s="264" t="s">
        <v>55</v>
      </c>
      <c r="B8" s="228"/>
      <c r="C8" s="229"/>
      <c r="D8" s="146"/>
      <c r="E8" s="152"/>
      <c r="G8" s="61" t="s">
        <v>47</v>
      </c>
      <c r="K8" s="25" t="s">
        <v>0</v>
      </c>
    </row>
    <row r="9" spans="1:12" ht="19.5" thickBot="1">
      <c r="A9" s="223" t="s">
        <v>16</v>
      </c>
      <c r="B9" s="228"/>
      <c r="C9" s="229"/>
      <c r="D9" s="233">
        <v>5</v>
      </c>
      <c r="E9" s="152" t="s">
        <v>29</v>
      </c>
      <c r="G9" s="444">
        <v>0.2</v>
      </c>
      <c r="H9" s="445">
        <v>0.4</v>
      </c>
      <c r="I9" s="445">
        <v>0.35</v>
      </c>
      <c r="J9" s="446">
        <v>0.05</v>
      </c>
      <c r="K9" s="149">
        <f>SUM(G9:J9)</f>
        <v>1</v>
      </c>
      <c r="L9" s="4" t="str">
        <f>IF(K9=100%,"OK","ERROR")</f>
        <v>OK</v>
      </c>
    </row>
    <row r="10" spans="1:12" ht="19.5" thickBot="1">
      <c r="A10" s="223" t="s">
        <v>17</v>
      </c>
      <c r="B10" s="228"/>
      <c r="C10" s="229"/>
      <c r="D10" s="234">
        <v>5</v>
      </c>
      <c r="E10" s="152" t="s">
        <v>29</v>
      </c>
      <c r="G10" s="444">
        <v>0.2</v>
      </c>
      <c r="H10" s="445">
        <v>0.4</v>
      </c>
      <c r="I10" s="445">
        <v>0.35</v>
      </c>
      <c r="J10" s="446">
        <v>0.05</v>
      </c>
      <c r="K10" s="149">
        <f>SUM(G10:J10)</f>
        <v>1</v>
      </c>
      <c r="L10" s="4" t="str">
        <f>IF(K10=100%,"OK","ERROR")</f>
        <v>OK</v>
      </c>
    </row>
    <row r="11" spans="1:12" ht="19.5" thickBot="1">
      <c r="A11" s="223" t="s">
        <v>18</v>
      </c>
      <c r="B11" s="228"/>
      <c r="C11" s="229"/>
      <c r="D11" s="234">
        <v>5</v>
      </c>
      <c r="E11" s="152" t="s">
        <v>29</v>
      </c>
      <c r="G11" s="444">
        <v>0.2</v>
      </c>
      <c r="H11" s="445">
        <v>0.4</v>
      </c>
      <c r="I11" s="445">
        <v>0.35</v>
      </c>
      <c r="J11" s="446">
        <v>0.05</v>
      </c>
      <c r="K11" s="149">
        <f>SUM(G11:J11)</f>
        <v>1</v>
      </c>
      <c r="L11" s="4" t="str">
        <f>IF(K11=100%,"OK","ERROR")</f>
        <v>OK</v>
      </c>
    </row>
    <row r="12" spans="1:12" ht="19.5" thickBot="1">
      <c r="A12" s="223" t="s">
        <v>19</v>
      </c>
      <c r="B12" s="228"/>
      <c r="C12" s="229"/>
      <c r="D12" s="234">
        <v>100</v>
      </c>
      <c r="E12" s="152" t="s">
        <v>29</v>
      </c>
      <c r="G12" s="444">
        <v>0.2</v>
      </c>
      <c r="H12" s="445">
        <v>0.4</v>
      </c>
      <c r="I12" s="445">
        <v>0.35</v>
      </c>
      <c r="J12" s="446">
        <v>0.05</v>
      </c>
      <c r="K12" s="149">
        <f>SUM(G12:J12)</f>
        <v>1</v>
      </c>
      <c r="L12" s="4" t="str">
        <f>IF(K12=100%,"OK","ERROR")</f>
        <v>OK</v>
      </c>
    </row>
    <row r="13" spans="1:12" ht="19.5" thickBot="1">
      <c r="A13" s="223" t="s">
        <v>1</v>
      </c>
      <c r="B13" s="228"/>
      <c r="C13" s="229"/>
      <c r="D13" s="235">
        <v>5</v>
      </c>
      <c r="E13" s="152" t="s">
        <v>29</v>
      </c>
      <c r="G13" s="444">
        <v>0.2</v>
      </c>
      <c r="H13" s="445">
        <v>0.4</v>
      </c>
      <c r="I13" s="445">
        <v>0.35</v>
      </c>
      <c r="J13" s="446">
        <v>0.05</v>
      </c>
      <c r="K13" s="149">
        <f>SUM(G13:J13)</f>
        <v>1</v>
      </c>
      <c r="L13" s="4" t="str">
        <f>IF(K13=100%,"OK","ERROR")</f>
        <v>OK</v>
      </c>
    </row>
    <row r="14" spans="1:10" s="75" customFormat="1" ht="15" thickBot="1">
      <c r="A14" s="265" t="s">
        <v>49</v>
      </c>
      <c r="B14" s="68"/>
      <c r="C14" s="19"/>
      <c r="D14" s="147">
        <f>SUM(D9:D13)</f>
        <v>120</v>
      </c>
      <c r="E14" s="266" t="s">
        <v>29</v>
      </c>
      <c r="G14" s="61"/>
      <c r="H14" s="61"/>
      <c r="I14" s="61"/>
      <c r="J14" s="61"/>
    </row>
    <row r="15" spans="1:5" ht="17.25">
      <c r="A15" s="267"/>
      <c r="B15" s="228"/>
      <c r="C15" s="229"/>
      <c r="D15" s="145"/>
      <c r="E15" s="152"/>
    </row>
    <row r="16" spans="1:11" s="75" customFormat="1" ht="15.75" thickBot="1">
      <c r="A16" s="264" t="s">
        <v>44</v>
      </c>
      <c r="B16" s="68"/>
      <c r="C16" s="19"/>
      <c r="D16" s="146"/>
      <c r="E16" s="266"/>
      <c r="G16" s="61" t="s">
        <v>48</v>
      </c>
      <c r="H16" s="61"/>
      <c r="I16" s="61"/>
      <c r="J16" s="61"/>
      <c r="K16" s="25" t="s">
        <v>0</v>
      </c>
    </row>
    <row r="17" spans="1:12" ht="19.5" thickBot="1">
      <c r="A17" s="268" t="s">
        <v>39</v>
      </c>
      <c r="B17" s="228"/>
      <c r="C17" s="229"/>
      <c r="D17" s="214">
        <v>0</v>
      </c>
      <c r="E17" s="152" t="s">
        <v>29</v>
      </c>
      <c r="G17" s="444">
        <v>0.2</v>
      </c>
      <c r="H17" s="445">
        <v>0.4</v>
      </c>
      <c r="I17" s="445">
        <v>0.35</v>
      </c>
      <c r="J17" s="446">
        <v>0.05</v>
      </c>
      <c r="K17" s="310">
        <f>SUM(G17:J17)</f>
        <v>1</v>
      </c>
      <c r="L17" s="4" t="str">
        <f>IF(K17=100%,"OK","ERROR")</f>
        <v>OK</v>
      </c>
    </row>
    <row r="18" spans="1:12" ht="18" thickBot="1">
      <c r="A18" s="268" t="s">
        <v>46</v>
      </c>
      <c r="B18" s="228"/>
      <c r="C18" s="229"/>
      <c r="D18" s="215">
        <v>20</v>
      </c>
      <c r="E18" s="152" t="s">
        <v>29</v>
      </c>
      <c r="G18" s="221">
        <v>0</v>
      </c>
      <c r="H18" s="219">
        <v>0</v>
      </c>
      <c r="I18" s="219">
        <v>0.5</v>
      </c>
      <c r="J18" s="220">
        <v>0.5</v>
      </c>
      <c r="K18" s="309">
        <f>SUM(G18:J18)</f>
        <v>1</v>
      </c>
      <c r="L18" s="4" t="str">
        <f>IF(K18=100%,"OK","ERROR")</f>
        <v>OK</v>
      </c>
    </row>
    <row r="19" spans="1:5" ht="18" thickBot="1">
      <c r="A19" s="268" t="s">
        <v>66</v>
      </c>
      <c r="B19" s="228"/>
      <c r="C19" s="229"/>
      <c r="D19" s="216">
        <v>2</v>
      </c>
      <c r="E19" s="152"/>
    </row>
    <row r="20" spans="1:5" ht="18" thickBot="1">
      <c r="A20" s="268" t="s">
        <v>38</v>
      </c>
      <c r="B20" s="228"/>
      <c r="C20" s="229"/>
      <c r="D20" s="217">
        <v>0.08</v>
      </c>
      <c r="E20" s="152"/>
    </row>
    <row r="21" spans="1:11" ht="18" thickBot="1">
      <c r="A21" s="268" t="s">
        <v>32</v>
      </c>
      <c r="B21" s="228"/>
      <c r="C21" s="229"/>
      <c r="D21" s="218">
        <v>15</v>
      </c>
      <c r="E21" s="152" t="s">
        <v>31</v>
      </c>
      <c r="G21" s="61" t="s">
        <v>68</v>
      </c>
      <c r="K21" s="25" t="s">
        <v>0</v>
      </c>
    </row>
    <row r="22" spans="1:12" ht="18" thickBot="1">
      <c r="A22" s="268" t="s">
        <v>69</v>
      </c>
      <c r="B22" s="228"/>
      <c r="C22" s="229"/>
      <c r="D22" s="230">
        <f>D14-D17-D18</f>
        <v>100</v>
      </c>
      <c r="E22" s="152" t="s">
        <v>29</v>
      </c>
      <c r="G22" s="221">
        <v>0</v>
      </c>
      <c r="H22" s="219">
        <v>0</v>
      </c>
      <c r="I22" s="219">
        <v>0.5</v>
      </c>
      <c r="J22" s="220">
        <v>0.5</v>
      </c>
      <c r="K22" s="310">
        <f>SUM(G22:J22)</f>
        <v>1</v>
      </c>
      <c r="L22" s="4" t="str">
        <f>IF(K22=100%,"OK","ERROR")</f>
        <v>OK</v>
      </c>
    </row>
    <row r="23" spans="1:11" ht="18" thickBot="1">
      <c r="A23" s="268" t="s">
        <v>70</v>
      </c>
      <c r="B23" s="228"/>
      <c r="C23" s="229"/>
      <c r="D23" s="401">
        <f>K23</f>
        <v>8.16</v>
      </c>
      <c r="E23" s="152" t="s">
        <v>29</v>
      </c>
      <c r="G23" s="236">
        <f>$D22*G22*$D20</f>
        <v>0</v>
      </c>
      <c r="H23" s="237">
        <f>($D22+G23)*H22*$D20</f>
        <v>0</v>
      </c>
      <c r="I23" s="237">
        <f>($D22+H23+G23)*I22*$D20</f>
        <v>4</v>
      </c>
      <c r="J23" s="238">
        <f>($D22+I23+H23+G23)*J22*$D20</f>
        <v>4.16</v>
      </c>
      <c r="K23" s="311">
        <f>SUM(G23:J23)</f>
        <v>8.16</v>
      </c>
    </row>
    <row r="24" spans="1:10" ht="17.25" thickBot="1">
      <c r="A24" s="269" t="s">
        <v>92</v>
      </c>
      <c r="B24" s="228"/>
      <c r="C24" s="229"/>
      <c r="D24" s="148">
        <f>D14-D17-D18+D23</f>
        <v>108.16</v>
      </c>
      <c r="E24" s="152" t="s">
        <v>29</v>
      </c>
      <c r="G24" s="4"/>
      <c r="H24" s="4"/>
      <c r="I24" s="4"/>
      <c r="J24" s="4"/>
    </row>
    <row r="25" spans="1:5" ht="17.25" thickBot="1">
      <c r="A25" s="270"/>
      <c r="B25" s="271"/>
      <c r="C25" s="272"/>
      <c r="D25" s="303"/>
      <c r="E25" s="273"/>
    </row>
    <row r="26" spans="1:4" ht="18" thickBot="1">
      <c r="A26" s="6"/>
      <c r="D26" s="151"/>
    </row>
    <row r="27" spans="1:5" ht="18" thickBot="1">
      <c r="A27" s="259"/>
      <c r="B27" s="65"/>
      <c r="C27" s="260"/>
      <c r="D27" s="145"/>
      <c r="E27" s="261"/>
    </row>
    <row r="28" spans="1:5" ht="21" thickBot="1">
      <c r="A28" s="278" t="s">
        <v>42</v>
      </c>
      <c r="B28" s="228"/>
      <c r="C28" s="229"/>
      <c r="D28" s="313">
        <v>22</v>
      </c>
      <c r="E28" s="266" t="s">
        <v>41</v>
      </c>
    </row>
    <row r="29" spans="1:5" ht="17.25" thickBot="1">
      <c r="A29" s="262"/>
      <c r="B29" s="228"/>
      <c r="C29" s="229"/>
      <c r="D29" s="200"/>
      <c r="E29" s="152"/>
    </row>
    <row r="30" spans="1:5" ht="17.25" thickBot="1">
      <c r="A30" s="264" t="s">
        <v>75</v>
      </c>
      <c r="B30" s="5"/>
      <c r="C30" s="229"/>
      <c r="D30" s="217">
        <v>0.05</v>
      </c>
      <c r="E30" s="152"/>
    </row>
    <row r="31" spans="1:11" ht="17.25" thickBot="1">
      <c r="A31" s="262"/>
      <c r="B31" s="5"/>
      <c r="C31" s="229"/>
      <c r="D31" s="150"/>
      <c r="E31" s="152"/>
      <c r="K31" s="75" t="s">
        <v>86</v>
      </c>
    </row>
    <row r="32" spans="1:32" ht="17.25" thickBot="1">
      <c r="A32" s="264" t="s">
        <v>99</v>
      </c>
      <c r="B32" s="228"/>
      <c r="C32" s="229"/>
      <c r="D32" s="214">
        <v>200000</v>
      </c>
      <c r="E32" s="152" t="s">
        <v>82</v>
      </c>
      <c r="I32" s="4" t="str">
        <f>IF(J32=100%,"OK","ERROR")</f>
        <v>OK</v>
      </c>
      <c r="J32" s="308">
        <f>SUM(K32:AF32)/22</f>
        <v>1</v>
      </c>
      <c r="K32" s="221">
        <v>1</v>
      </c>
      <c r="L32" s="219">
        <v>1</v>
      </c>
      <c r="M32" s="219">
        <v>1</v>
      </c>
      <c r="N32" s="219">
        <v>1</v>
      </c>
      <c r="O32" s="219">
        <v>1</v>
      </c>
      <c r="P32" s="219">
        <v>1</v>
      </c>
      <c r="Q32" s="219">
        <v>1</v>
      </c>
      <c r="R32" s="219">
        <v>1</v>
      </c>
      <c r="S32" s="219">
        <v>1</v>
      </c>
      <c r="T32" s="219">
        <v>1</v>
      </c>
      <c r="U32" s="219">
        <v>1</v>
      </c>
      <c r="V32" s="219">
        <v>1</v>
      </c>
      <c r="W32" s="219">
        <v>1</v>
      </c>
      <c r="X32" s="219">
        <v>1</v>
      </c>
      <c r="Y32" s="219">
        <v>1</v>
      </c>
      <c r="Z32" s="219">
        <v>1</v>
      </c>
      <c r="AA32" s="219">
        <v>1</v>
      </c>
      <c r="AB32" s="219">
        <v>1</v>
      </c>
      <c r="AC32" s="219">
        <v>1</v>
      </c>
      <c r="AD32" s="219">
        <v>1</v>
      </c>
      <c r="AE32" s="219">
        <v>1</v>
      </c>
      <c r="AF32" s="220">
        <v>1</v>
      </c>
    </row>
    <row r="33" spans="1:32" ht="17.25" thickBot="1">
      <c r="A33" s="264" t="s">
        <v>100</v>
      </c>
      <c r="B33" s="228"/>
      <c r="C33" s="229"/>
      <c r="D33" s="214">
        <v>0</v>
      </c>
      <c r="E33" s="152" t="s">
        <v>81</v>
      </c>
      <c r="I33" s="4" t="str">
        <f>IF(J33=100%,"OK","ERROR")</f>
        <v>OK</v>
      </c>
      <c r="J33" s="308">
        <f>SUM(K33:AF33)/22</f>
        <v>1</v>
      </c>
      <c r="K33" s="221">
        <v>1</v>
      </c>
      <c r="L33" s="219">
        <v>1</v>
      </c>
      <c r="M33" s="219">
        <v>1</v>
      </c>
      <c r="N33" s="219">
        <v>1</v>
      </c>
      <c r="O33" s="219">
        <v>1</v>
      </c>
      <c r="P33" s="219">
        <v>1</v>
      </c>
      <c r="Q33" s="219">
        <v>1</v>
      </c>
      <c r="R33" s="219">
        <v>1</v>
      </c>
      <c r="S33" s="219">
        <v>1</v>
      </c>
      <c r="T33" s="219">
        <v>1</v>
      </c>
      <c r="U33" s="219">
        <v>1</v>
      </c>
      <c r="V33" s="219">
        <v>1</v>
      </c>
      <c r="W33" s="219">
        <v>1</v>
      </c>
      <c r="X33" s="219">
        <v>1</v>
      </c>
      <c r="Y33" s="219">
        <v>1</v>
      </c>
      <c r="Z33" s="219">
        <v>1</v>
      </c>
      <c r="AA33" s="219">
        <v>1</v>
      </c>
      <c r="AB33" s="219">
        <v>1</v>
      </c>
      <c r="AC33" s="219">
        <v>1</v>
      </c>
      <c r="AD33" s="219">
        <v>1</v>
      </c>
      <c r="AE33" s="219">
        <v>1</v>
      </c>
      <c r="AF33" s="220">
        <v>1</v>
      </c>
    </row>
    <row r="34" spans="1:11" ht="18" thickBot="1">
      <c r="A34" s="267"/>
      <c r="B34" s="228"/>
      <c r="C34" s="229"/>
      <c r="D34" s="315"/>
      <c r="E34" s="152"/>
      <c r="K34" s="75"/>
    </row>
    <row r="35" spans="1:35" s="75" customFormat="1" ht="17.25" thickBot="1">
      <c r="A35" s="264" t="s">
        <v>56</v>
      </c>
      <c r="B35" s="68"/>
      <c r="C35" s="19"/>
      <c r="D35" s="222">
        <v>5</v>
      </c>
      <c r="E35" s="266" t="s">
        <v>54</v>
      </c>
      <c r="F35" s="312" t="s">
        <v>109</v>
      </c>
      <c r="G35" s="61"/>
      <c r="H35" s="61"/>
      <c r="I35" s="71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6"/>
      <c r="AH35" s="316"/>
      <c r="AI35" s="316"/>
    </row>
    <row r="36" spans="1:32" ht="18" thickBot="1">
      <c r="A36" s="267" t="s">
        <v>84</v>
      </c>
      <c r="B36" s="228"/>
      <c r="C36" s="229"/>
      <c r="D36" s="213">
        <v>0</v>
      </c>
      <c r="E36" s="152" t="s">
        <v>106</v>
      </c>
      <c r="F36" s="397" t="s">
        <v>109</v>
      </c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</row>
    <row r="37" spans="1:32" ht="18" thickBot="1">
      <c r="A37" s="267" t="s">
        <v>85</v>
      </c>
      <c r="B37" s="228"/>
      <c r="C37" s="229"/>
      <c r="D37" s="213">
        <v>0</v>
      </c>
      <c r="E37" s="152" t="s">
        <v>107</v>
      </c>
      <c r="F37" s="201" t="s">
        <v>109</v>
      </c>
      <c r="I37" s="22"/>
      <c r="J37" s="307"/>
      <c r="K37" s="71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</row>
    <row r="38" spans="1:32" s="75" customFormat="1" ht="17.25" thickBot="1">
      <c r="A38" s="264" t="s">
        <v>57</v>
      </c>
      <c r="B38" s="68"/>
      <c r="C38" s="19"/>
      <c r="D38" s="314">
        <f>AVERAGE(K38:AF38)</f>
        <v>0</v>
      </c>
      <c r="E38" s="266" t="s">
        <v>83</v>
      </c>
      <c r="F38" s="312" t="s">
        <v>109</v>
      </c>
      <c r="G38" s="61"/>
      <c r="H38" s="61"/>
      <c r="I38" s="71"/>
      <c r="J38" s="317"/>
      <c r="K38" s="341">
        <f aca="true" t="shared" si="0" ref="K38:AF38">$D$36/1000*1.41*$D$32*K32*365/1000000+$D$37/1000*1.41*$D$33*K33*365/1000000</f>
        <v>0</v>
      </c>
      <c r="L38" s="342">
        <f t="shared" si="0"/>
        <v>0</v>
      </c>
      <c r="M38" s="342">
        <f t="shared" si="0"/>
        <v>0</v>
      </c>
      <c r="N38" s="342">
        <f t="shared" si="0"/>
        <v>0</v>
      </c>
      <c r="O38" s="342">
        <f t="shared" si="0"/>
        <v>0</v>
      </c>
      <c r="P38" s="342">
        <f t="shared" si="0"/>
        <v>0</v>
      </c>
      <c r="Q38" s="342">
        <f t="shared" si="0"/>
        <v>0</v>
      </c>
      <c r="R38" s="342">
        <f t="shared" si="0"/>
        <v>0</v>
      </c>
      <c r="S38" s="342">
        <f t="shared" si="0"/>
        <v>0</v>
      </c>
      <c r="T38" s="342">
        <f t="shared" si="0"/>
        <v>0</v>
      </c>
      <c r="U38" s="342">
        <f t="shared" si="0"/>
        <v>0</v>
      </c>
      <c r="V38" s="342">
        <f t="shared" si="0"/>
        <v>0</v>
      </c>
      <c r="W38" s="342">
        <f t="shared" si="0"/>
        <v>0</v>
      </c>
      <c r="X38" s="342">
        <f t="shared" si="0"/>
        <v>0</v>
      </c>
      <c r="Y38" s="342">
        <f t="shared" si="0"/>
        <v>0</v>
      </c>
      <c r="Z38" s="342">
        <f t="shared" si="0"/>
        <v>0</v>
      </c>
      <c r="AA38" s="342">
        <f t="shared" si="0"/>
        <v>0</v>
      </c>
      <c r="AB38" s="342">
        <f t="shared" si="0"/>
        <v>0</v>
      </c>
      <c r="AC38" s="342">
        <f t="shared" si="0"/>
        <v>0</v>
      </c>
      <c r="AD38" s="342">
        <f t="shared" si="0"/>
        <v>0</v>
      </c>
      <c r="AE38" s="342">
        <f t="shared" si="0"/>
        <v>0</v>
      </c>
      <c r="AF38" s="343">
        <f t="shared" si="0"/>
        <v>0</v>
      </c>
    </row>
    <row r="39" spans="1:10" s="75" customFormat="1" ht="15.75" thickBot="1">
      <c r="A39" s="264" t="s">
        <v>79</v>
      </c>
      <c r="B39" s="68"/>
      <c r="C39" s="19"/>
      <c r="D39" s="217">
        <v>0.1</v>
      </c>
      <c r="E39" s="266" t="s">
        <v>80</v>
      </c>
      <c r="F39" s="398" t="s">
        <v>109</v>
      </c>
      <c r="G39" s="61"/>
      <c r="H39" s="61"/>
      <c r="I39" s="61"/>
      <c r="J39" s="61"/>
    </row>
    <row r="40" spans="1:10" s="75" customFormat="1" ht="15.75" thickBot="1">
      <c r="A40" s="264"/>
      <c r="B40" s="68"/>
      <c r="C40" s="19"/>
      <c r="D40" s="150"/>
      <c r="E40" s="266"/>
      <c r="F40" s="399" t="s">
        <v>109</v>
      </c>
      <c r="G40" s="61"/>
      <c r="H40" s="61"/>
      <c r="I40" s="61"/>
      <c r="J40" s="61"/>
    </row>
    <row r="41" spans="1:32" s="38" customFormat="1" ht="19.5" thickBot="1">
      <c r="A41" s="267" t="s">
        <v>33</v>
      </c>
      <c r="B41" s="328"/>
      <c r="C41" s="283"/>
      <c r="D41" s="217">
        <v>0.1</v>
      </c>
      <c r="E41" s="329"/>
      <c r="F41" s="400" t="s">
        <v>109</v>
      </c>
      <c r="G41" s="330"/>
      <c r="H41" s="330"/>
      <c r="I41" s="330"/>
      <c r="J41" s="330" t="s">
        <v>109</v>
      </c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</row>
    <row r="42" spans="1:32" s="47" customFormat="1" ht="19.5" thickBot="1">
      <c r="A42" s="267" t="s">
        <v>93</v>
      </c>
      <c r="B42" s="332"/>
      <c r="C42" s="281"/>
      <c r="D42" s="333">
        <f>J42</f>
        <v>0.9999999999999997</v>
      </c>
      <c r="E42" s="280"/>
      <c r="F42" s="281"/>
      <c r="G42" s="281"/>
      <c r="H42" s="281"/>
      <c r="I42" s="334" t="str">
        <f>IF(J42=100%,"OK","ERROR")</f>
        <v>OK</v>
      </c>
      <c r="J42" s="335">
        <f>SUM(K42:AF42)</f>
        <v>0.9999999999999997</v>
      </c>
      <c r="K42" s="336">
        <f aca="true" t="shared" si="1" ref="K42:AF42">1/22</f>
        <v>0.045454545454545456</v>
      </c>
      <c r="L42" s="337">
        <f t="shared" si="1"/>
        <v>0.045454545454545456</v>
      </c>
      <c r="M42" s="337">
        <f t="shared" si="1"/>
        <v>0.045454545454545456</v>
      </c>
      <c r="N42" s="337">
        <f t="shared" si="1"/>
        <v>0.045454545454545456</v>
      </c>
      <c r="O42" s="337">
        <f t="shared" si="1"/>
        <v>0.045454545454545456</v>
      </c>
      <c r="P42" s="337">
        <f t="shared" si="1"/>
        <v>0.045454545454545456</v>
      </c>
      <c r="Q42" s="337">
        <f t="shared" si="1"/>
        <v>0.045454545454545456</v>
      </c>
      <c r="R42" s="337">
        <f t="shared" si="1"/>
        <v>0.045454545454545456</v>
      </c>
      <c r="S42" s="337">
        <f t="shared" si="1"/>
        <v>0.045454545454545456</v>
      </c>
      <c r="T42" s="337">
        <f t="shared" si="1"/>
        <v>0.045454545454545456</v>
      </c>
      <c r="U42" s="337">
        <f t="shared" si="1"/>
        <v>0.045454545454545456</v>
      </c>
      <c r="V42" s="337">
        <f t="shared" si="1"/>
        <v>0.045454545454545456</v>
      </c>
      <c r="W42" s="337">
        <f t="shared" si="1"/>
        <v>0.045454545454545456</v>
      </c>
      <c r="X42" s="337">
        <f t="shared" si="1"/>
        <v>0.045454545454545456</v>
      </c>
      <c r="Y42" s="337">
        <f t="shared" si="1"/>
        <v>0.045454545454545456</v>
      </c>
      <c r="Z42" s="337">
        <f t="shared" si="1"/>
        <v>0.045454545454545456</v>
      </c>
      <c r="AA42" s="337">
        <f t="shared" si="1"/>
        <v>0.045454545454545456</v>
      </c>
      <c r="AB42" s="337">
        <f t="shared" si="1"/>
        <v>0.045454545454545456</v>
      </c>
      <c r="AC42" s="337">
        <f t="shared" si="1"/>
        <v>0.045454545454545456</v>
      </c>
      <c r="AD42" s="337">
        <f t="shared" si="1"/>
        <v>0.045454545454545456</v>
      </c>
      <c r="AE42" s="337">
        <f t="shared" si="1"/>
        <v>0.045454545454545456</v>
      </c>
      <c r="AF42" s="338">
        <f t="shared" si="1"/>
        <v>0.045454545454545456</v>
      </c>
    </row>
    <row r="43" spans="1:32" s="327" customFormat="1" ht="15.75" thickBot="1">
      <c r="A43" s="392" t="s">
        <v>94</v>
      </c>
      <c r="B43" s="321"/>
      <c r="C43" s="320"/>
      <c r="D43" s="322">
        <f>J43</f>
        <v>0.5454545454545451</v>
      </c>
      <c r="E43" s="323" t="s">
        <v>54</v>
      </c>
      <c r="F43" s="396" t="s">
        <v>109</v>
      </c>
      <c r="G43" s="325"/>
      <c r="H43" s="325"/>
      <c r="I43" s="325"/>
      <c r="J43" s="326">
        <f>AVERAGE(K43:AF43)</f>
        <v>0.5454545454545451</v>
      </c>
      <c r="K43" s="344">
        <f aca="true" t="shared" si="2" ref="K43:AF43">$D$14*$D$41*K42</f>
        <v>0.5454545454545454</v>
      </c>
      <c r="L43" s="345">
        <f t="shared" si="2"/>
        <v>0.5454545454545454</v>
      </c>
      <c r="M43" s="345">
        <f t="shared" si="2"/>
        <v>0.5454545454545454</v>
      </c>
      <c r="N43" s="345">
        <f t="shared" si="2"/>
        <v>0.5454545454545454</v>
      </c>
      <c r="O43" s="345">
        <f t="shared" si="2"/>
        <v>0.5454545454545454</v>
      </c>
      <c r="P43" s="345">
        <f t="shared" si="2"/>
        <v>0.5454545454545454</v>
      </c>
      <c r="Q43" s="345">
        <f t="shared" si="2"/>
        <v>0.5454545454545454</v>
      </c>
      <c r="R43" s="345">
        <f t="shared" si="2"/>
        <v>0.5454545454545454</v>
      </c>
      <c r="S43" s="345">
        <f t="shared" si="2"/>
        <v>0.5454545454545454</v>
      </c>
      <c r="T43" s="345">
        <f t="shared" si="2"/>
        <v>0.5454545454545454</v>
      </c>
      <c r="U43" s="345">
        <f t="shared" si="2"/>
        <v>0.5454545454545454</v>
      </c>
      <c r="V43" s="345">
        <f t="shared" si="2"/>
        <v>0.5454545454545454</v>
      </c>
      <c r="W43" s="345">
        <f t="shared" si="2"/>
        <v>0.5454545454545454</v>
      </c>
      <c r="X43" s="345">
        <f t="shared" si="2"/>
        <v>0.5454545454545454</v>
      </c>
      <c r="Y43" s="345">
        <f t="shared" si="2"/>
        <v>0.5454545454545454</v>
      </c>
      <c r="Z43" s="345">
        <f t="shared" si="2"/>
        <v>0.5454545454545454</v>
      </c>
      <c r="AA43" s="345">
        <f t="shared" si="2"/>
        <v>0.5454545454545454</v>
      </c>
      <c r="AB43" s="345">
        <f t="shared" si="2"/>
        <v>0.5454545454545454</v>
      </c>
      <c r="AC43" s="345">
        <f t="shared" si="2"/>
        <v>0.5454545454545454</v>
      </c>
      <c r="AD43" s="345">
        <f t="shared" si="2"/>
        <v>0.5454545454545454</v>
      </c>
      <c r="AE43" s="345">
        <f t="shared" si="2"/>
        <v>0.5454545454545454</v>
      </c>
      <c r="AF43" s="346">
        <f t="shared" si="2"/>
        <v>0.5454545454545454</v>
      </c>
    </row>
    <row r="44" spans="1:32" s="327" customFormat="1" ht="15.75" thickBot="1">
      <c r="A44" s="393"/>
      <c r="B44" s="325"/>
      <c r="C44" s="390"/>
      <c r="D44" s="391"/>
      <c r="E44" s="323"/>
      <c r="F44" s="324" t="s">
        <v>109</v>
      </c>
      <c r="G44" s="325"/>
      <c r="H44" s="325"/>
      <c r="I44" s="325"/>
      <c r="J44" s="394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</row>
    <row r="45" spans="1:10" s="75" customFormat="1" ht="15.75" thickBot="1">
      <c r="A45" s="264" t="s">
        <v>64</v>
      </c>
      <c r="B45" s="68"/>
      <c r="C45" s="19"/>
      <c r="D45" s="217">
        <v>0.1</v>
      </c>
      <c r="E45" s="266"/>
      <c r="F45" s="399" t="s">
        <v>109</v>
      </c>
      <c r="G45" s="61"/>
      <c r="H45" s="61"/>
      <c r="I45" s="61"/>
      <c r="J45" s="61"/>
    </row>
    <row r="46" spans="1:5" ht="18" thickBot="1">
      <c r="A46" s="267"/>
      <c r="B46" s="228"/>
      <c r="C46" s="229"/>
      <c r="D46" s="150" t="s">
        <v>109</v>
      </c>
      <c r="E46" s="152"/>
    </row>
    <row r="47" spans="1:10" s="75" customFormat="1" ht="15.75" thickBot="1">
      <c r="A47" s="264" t="s">
        <v>97</v>
      </c>
      <c r="B47" s="68"/>
      <c r="C47" s="19"/>
      <c r="D47" s="319">
        <f>(((($D$35+$D$38)/1.41*1000000*1000)/($D$32*365))*(1+$D$39))+(($D$43/1.41*1000000*1000)/($D$32*365))</f>
        <v>58.7336495235067</v>
      </c>
      <c r="E47" s="266" t="s">
        <v>71</v>
      </c>
      <c r="G47" s="61"/>
      <c r="H47" s="61"/>
      <c r="I47" s="61"/>
      <c r="J47" s="61"/>
    </row>
    <row r="48" spans="1:6" s="5" customFormat="1" ht="18" thickBot="1">
      <c r="A48" s="274"/>
      <c r="B48" s="271"/>
      <c r="C48" s="272"/>
      <c r="D48" s="146"/>
      <c r="E48" s="32"/>
      <c r="F48" s="22"/>
    </row>
    <row r="49" spans="1:6" s="5" customFormat="1" ht="18" thickBot="1">
      <c r="A49" s="227"/>
      <c r="B49" s="228"/>
      <c r="C49" s="229"/>
      <c r="D49" s="151"/>
      <c r="E49" s="22"/>
      <c r="F49" s="22"/>
    </row>
    <row r="50" spans="1:6" s="5" customFormat="1" ht="17.25">
      <c r="A50" s="259"/>
      <c r="B50" s="65"/>
      <c r="C50" s="260"/>
      <c r="D50" s="145"/>
      <c r="E50" s="60"/>
      <c r="F50" s="22"/>
    </row>
    <row r="51" spans="1:6" s="305" customFormat="1" ht="24">
      <c r="A51" s="300" t="s">
        <v>87</v>
      </c>
      <c r="B51" s="370"/>
      <c r="C51" s="371"/>
      <c r="D51" s="372"/>
      <c r="E51" s="373"/>
      <c r="F51" s="374"/>
    </row>
    <row r="52" spans="1:6" s="290" customFormat="1" ht="21" thickBot="1">
      <c r="A52" s="275"/>
      <c r="B52" s="285"/>
      <c r="C52" s="286"/>
      <c r="D52" s="367"/>
      <c r="E52" s="368"/>
      <c r="F52" s="369"/>
    </row>
    <row r="53" spans="1:10" s="289" customFormat="1" ht="21" thickBot="1">
      <c r="A53" s="284" t="s">
        <v>76</v>
      </c>
      <c r="B53" s="285"/>
      <c r="C53" s="286"/>
      <c r="D53" s="287">
        <f>D14+D23</f>
        <v>128.16</v>
      </c>
      <c r="E53" s="297" t="s">
        <v>29</v>
      </c>
      <c r="G53" s="290"/>
      <c r="H53" s="290"/>
      <c r="I53" s="290"/>
      <c r="J53" s="290"/>
    </row>
    <row r="54" spans="1:10" s="289" customFormat="1" ht="21" thickBot="1">
      <c r="A54" s="284" t="s">
        <v>45</v>
      </c>
      <c r="B54" s="291"/>
      <c r="C54" s="292"/>
      <c r="D54" s="304">
        <f>D18/(D24+D18)</f>
        <v>0.1560549313358302</v>
      </c>
      <c r="E54" s="288"/>
      <c r="G54" s="290"/>
      <c r="H54" s="290"/>
      <c r="I54" s="290"/>
      <c r="J54" s="290"/>
    </row>
    <row r="55" spans="1:10" s="298" customFormat="1" ht="21" thickBot="1">
      <c r="A55" s="284" t="s">
        <v>78</v>
      </c>
      <c r="B55" s="291"/>
      <c r="C55" s="292"/>
      <c r="D55" s="296">
        <f>-D134</f>
        <v>1.1469588070692949</v>
      </c>
      <c r="E55" s="297"/>
      <c r="G55" s="295"/>
      <c r="H55" s="295"/>
      <c r="I55" s="295"/>
      <c r="J55" s="295"/>
    </row>
    <row r="56" spans="1:10" s="298" customFormat="1" ht="21" thickBot="1">
      <c r="A56" s="284"/>
      <c r="B56" s="291"/>
      <c r="C56" s="292"/>
      <c r="D56" s="339"/>
      <c r="E56" s="297"/>
      <c r="G56" s="295"/>
      <c r="H56" s="295"/>
      <c r="I56" s="295"/>
      <c r="J56" s="295"/>
    </row>
    <row r="57" spans="1:6" s="295" customFormat="1" ht="21" thickBot="1">
      <c r="A57" s="284" t="s">
        <v>67</v>
      </c>
      <c r="B57" s="291"/>
      <c r="C57" s="292"/>
      <c r="D57" s="299">
        <f>D132</f>
        <v>0.11585439758219884</v>
      </c>
      <c r="E57" s="301"/>
      <c r="F57" s="294"/>
    </row>
    <row r="58" spans="1:6" s="295" customFormat="1" ht="21" hidden="1" thickBot="1">
      <c r="A58" s="284" t="s">
        <v>77</v>
      </c>
      <c r="B58" s="291"/>
      <c r="C58" s="292"/>
      <c r="D58" s="302">
        <f>D135</f>
        <v>13</v>
      </c>
      <c r="E58" s="293" t="s">
        <v>41</v>
      </c>
      <c r="F58" s="294"/>
    </row>
    <row r="59" spans="1:6" s="295" customFormat="1" ht="21" thickBot="1">
      <c r="A59" s="284"/>
      <c r="B59" s="291"/>
      <c r="C59" s="292"/>
      <c r="D59" s="340"/>
      <c r="E59" s="293"/>
      <c r="F59" s="294"/>
    </row>
    <row r="60" spans="1:10" s="298" customFormat="1" ht="21" thickBot="1">
      <c r="A60" s="284" t="s">
        <v>108</v>
      </c>
      <c r="B60" s="291"/>
      <c r="C60" s="292"/>
      <c r="D60" s="318">
        <f>($D$66*1000000)/1.4109*1000/($D$32*365*$D$28)</f>
        <v>234.73648969597465</v>
      </c>
      <c r="E60" s="297" t="s">
        <v>105</v>
      </c>
      <c r="F60" s="334">
        <f>SUM(D61:D63)</f>
        <v>234.73648969597468</v>
      </c>
      <c r="G60" s="334" t="str">
        <f>IF(D60=F60,"OK","ERROR")</f>
        <v>OK</v>
      </c>
      <c r="H60" s="295"/>
      <c r="I60" s="295"/>
      <c r="J60" s="295"/>
    </row>
    <row r="61" spans="1:10" s="9" customFormat="1" ht="18.75" thickBot="1">
      <c r="A61" s="352" t="s">
        <v>102</v>
      </c>
      <c r="B61" s="282"/>
      <c r="C61" s="283"/>
      <c r="D61" s="347">
        <f>($D$68*1000000)/1.4109*1000/($D$32*365*$D$28)</f>
        <v>78.2832328304615</v>
      </c>
      <c r="E61" s="350" t="s">
        <v>105</v>
      </c>
      <c r="G61" s="10"/>
      <c r="H61" s="10"/>
      <c r="I61" s="10"/>
      <c r="J61" s="10"/>
    </row>
    <row r="62" spans="1:10" s="9" customFormat="1" ht="18.75" thickBot="1">
      <c r="A62" s="352" t="s">
        <v>103</v>
      </c>
      <c r="B62" s="282"/>
      <c r="C62" s="283"/>
      <c r="D62" s="347">
        <f>($D$67*1000000)/1.4109*1000/($D$32*365*$D$28)</f>
        <v>43.72597020158036</v>
      </c>
      <c r="E62" s="350" t="s">
        <v>105</v>
      </c>
      <c r="G62" s="10"/>
      <c r="H62" s="10"/>
      <c r="I62" s="10"/>
      <c r="J62" s="10"/>
    </row>
    <row r="63" spans="1:10" s="351" customFormat="1" ht="18.75" thickBot="1">
      <c r="A63" s="352" t="s">
        <v>104</v>
      </c>
      <c r="B63" s="348"/>
      <c r="C63" s="349"/>
      <c r="D63" s="347">
        <f>($D$69*1000000)/1.4109*1000/($D$32*365*$D$28)</f>
        <v>112.72728666393283</v>
      </c>
      <c r="E63" s="350" t="s">
        <v>105</v>
      </c>
      <c r="G63" s="349"/>
      <c r="H63" s="349"/>
      <c r="I63" s="349"/>
      <c r="J63" s="349"/>
    </row>
    <row r="64" spans="1:6" s="295" customFormat="1" ht="20.25">
      <c r="A64" s="284"/>
      <c r="B64" s="291"/>
      <c r="C64" s="292"/>
      <c r="D64" s="306"/>
      <c r="E64" s="293"/>
      <c r="F64" s="294"/>
    </row>
    <row r="65" spans="1:6" s="358" customFormat="1" ht="15.75" thickBot="1">
      <c r="A65" s="264" t="s">
        <v>101</v>
      </c>
      <c r="B65" s="353"/>
      <c r="C65" s="354"/>
      <c r="D65" s="355"/>
      <c r="E65" s="356"/>
      <c r="F65" s="357"/>
    </row>
    <row r="66" spans="1:7" s="358" customFormat="1" ht="18" thickBot="1">
      <c r="A66" s="279" t="s">
        <v>72</v>
      </c>
      <c r="B66" s="232"/>
      <c r="C66" s="354"/>
      <c r="D66" s="319">
        <f>SUM(K101:AF101)</f>
        <v>531.8906795791534</v>
      </c>
      <c r="E66" s="356" t="s">
        <v>29</v>
      </c>
      <c r="F66" s="334">
        <f>SUM(D67:D69)</f>
        <v>531.8906795791534</v>
      </c>
      <c r="G66" s="334" t="str">
        <f>IF(D66=F66,"OK","ERROR")</f>
        <v>OK</v>
      </c>
    </row>
    <row r="67" spans="1:10" s="358" customFormat="1" ht="18" thickBot="1">
      <c r="A67" s="279" t="s">
        <v>73</v>
      </c>
      <c r="B67" s="232"/>
      <c r="C67" s="354"/>
      <c r="D67" s="319">
        <f>SUM(K130:AF130)</f>
        <v>99.07891200000002</v>
      </c>
      <c r="E67" s="356" t="s">
        <v>29</v>
      </c>
      <c r="F67" s="357"/>
      <c r="H67" s="388"/>
      <c r="J67" s="389"/>
    </row>
    <row r="68" spans="1:8" s="358" customFormat="1" ht="18" thickBot="1">
      <c r="A68" s="279" t="s">
        <v>74</v>
      </c>
      <c r="B68" s="232"/>
      <c r="C68" s="354"/>
      <c r="D68" s="319">
        <f>-SUM(K111:AF111)-SUM(K110:AF110)</f>
        <v>177.38240000000002</v>
      </c>
      <c r="E68" s="356" t="s">
        <v>29</v>
      </c>
      <c r="F68" s="357"/>
      <c r="H68" s="387"/>
    </row>
    <row r="69" spans="1:8" s="358" customFormat="1" ht="18" thickBot="1">
      <c r="A69" s="279" t="s">
        <v>95</v>
      </c>
      <c r="B69" s="232"/>
      <c r="C69" s="354"/>
      <c r="D69" s="319">
        <f>-SUM(K112:AF112)-SUM(K113:AF113)-SUM(K114:AF114)-SUM(K119:AF119)</f>
        <v>255.4293675791534</v>
      </c>
      <c r="E69" s="356" t="s">
        <v>29</v>
      </c>
      <c r="F69" s="357"/>
      <c r="H69" s="325"/>
    </row>
    <row r="70" spans="1:6" s="358" customFormat="1" ht="15.75" thickBot="1">
      <c r="A70" s="264"/>
      <c r="B70" s="353"/>
      <c r="C70" s="354"/>
      <c r="D70" s="359"/>
      <c r="E70" s="356"/>
      <c r="F70" s="357"/>
    </row>
    <row r="71" spans="1:10" s="361" customFormat="1" ht="15.75" thickBot="1">
      <c r="A71" s="264" t="s">
        <v>88</v>
      </c>
      <c r="B71" s="353"/>
      <c r="C71" s="354"/>
      <c r="D71" s="217">
        <v>0.1</v>
      </c>
      <c r="E71" s="360"/>
      <c r="G71" s="358"/>
      <c r="H71" s="358"/>
      <c r="I71" s="358"/>
      <c r="J71" s="358"/>
    </row>
    <row r="72" spans="1:10" s="334" customFormat="1" ht="18" thickBot="1">
      <c r="A72" s="279" t="s">
        <v>89</v>
      </c>
      <c r="B72" s="362"/>
      <c r="C72" s="363"/>
      <c r="D72" s="231">
        <f>NPV($D$71,K101:AF101)</f>
        <v>206.7559719424463</v>
      </c>
      <c r="E72" s="364" t="s">
        <v>29</v>
      </c>
      <c r="F72" s="334">
        <f>SUM(D73:D75)</f>
        <v>206.7559719424463</v>
      </c>
      <c r="G72" s="334" t="str">
        <f>IF(D72=F72,"OK","ERROR")</f>
        <v>OK</v>
      </c>
      <c r="H72" s="365"/>
      <c r="I72" s="365"/>
      <c r="J72" s="365"/>
    </row>
    <row r="73" spans="1:10" s="334" customFormat="1" ht="18" thickBot="1">
      <c r="A73" s="279" t="s">
        <v>90</v>
      </c>
      <c r="B73" s="362"/>
      <c r="C73" s="363"/>
      <c r="D73" s="231">
        <f>NPV($D$71,K130:AF130)</f>
        <v>25.133748253738784</v>
      </c>
      <c r="E73" s="364" t="s">
        <v>29</v>
      </c>
      <c r="F73" s="366"/>
      <c r="G73" s="365"/>
      <c r="H73" s="365"/>
      <c r="I73" s="365"/>
      <c r="J73" s="365"/>
    </row>
    <row r="74" spans="1:10" s="334" customFormat="1" ht="18" thickBot="1">
      <c r="A74" s="279" t="s">
        <v>91</v>
      </c>
      <c r="B74" s="362"/>
      <c r="C74" s="363"/>
      <c r="D74" s="231">
        <f>-NPV($D$71,K111:AF111)-NPV($D$71,K110:AF110)</f>
        <v>97.49698079203077</v>
      </c>
      <c r="E74" s="364" t="s">
        <v>29</v>
      </c>
      <c r="G74" s="365"/>
      <c r="H74" s="365"/>
      <c r="I74" s="365"/>
      <c r="J74" s="365"/>
    </row>
    <row r="75" spans="1:10" s="334" customFormat="1" ht="18" thickBot="1">
      <c r="A75" s="279" t="s">
        <v>96</v>
      </c>
      <c r="B75" s="362"/>
      <c r="C75" s="363"/>
      <c r="D75" s="231">
        <f>-NPV($D$71,K112:AF112)-NPV($D$71,K113:AF113)-NPV($D$71,K114:AF114)-NPV($D$71,K119:AF119)</f>
        <v>84.12524289667674</v>
      </c>
      <c r="E75" s="364" t="s">
        <v>29</v>
      </c>
      <c r="G75" s="365"/>
      <c r="H75" s="365"/>
      <c r="I75" s="365"/>
      <c r="J75" s="365"/>
    </row>
    <row r="76" spans="1:5" ht="18" thickBot="1">
      <c r="A76" s="276"/>
      <c r="B76" s="271"/>
      <c r="C76" s="272"/>
      <c r="D76" s="277"/>
      <c r="E76" s="273"/>
    </row>
    <row r="77" spans="1:10" s="9" customFormat="1" ht="18.75" thickBot="1">
      <c r="A77" s="7"/>
      <c r="B77" s="8"/>
      <c r="G77" s="10"/>
      <c r="H77" s="10"/>
      <c r="I77" s="10"/>
      <c r="J77" s="10"/>
    </row>
    <row r="78" spans="1:32" ht="16.5">
      <c r="A78" s="11"/>
      <c r="B78" s="11"/>
      <c r="C78" s="12" t="s">
        <v>4</v>
      </c>
      <c r="D78" s="13" t="s">
        <v>8</v>
      </c>
      <c r="E78" s="14" t="s">
        <v>0</v>
      </c>
      <c r="F78" s="15" t="s">
        <v>0</v>
      </c>
      <c r="G78" s="91">
        <v>2010</v>
      </c>
      <c r="H78" s="92">
        <v>2011</v>
      </c>
      <c r="I78" s="92">
        <v>2012</v>
      </c>
      <c r="J78" s="93">
        <v>2013</v>
      </c>
      <c r="K78" s="377">
        <v>2014</v>
      </c>
      <c r="L78" s="94">
        <v>2015</v>
      </c>
      <c r="M78" s="94">
        <v>2016</v>
      </c>
      <c r="N78" s="94">
        <v>2017</v>
      </c>
      <c r="O78" s="94">
        <v>2018</v>
      </c>
      <c r="P78" s="94">
        <v>2019</v>
      </c>
      <c r="Q78" s="94">
        <v>2020</v>
      </c>
      <c r="R78" s="94">
        <v>2021</v>
      </c>
      <c r="S78" s="94">
        <v>2022</v>
      </c>
      <c r="T78" s="94">
        <v>2023</v>
      </c>
      <c r="U78" s="94">
        <v>2024</v>
      </c>
      <c r="V78" s="241">
        <v>2025</v>
      </c>
      <c r="W78" s="94">
        <v>2026</v>
      </c>
      <c r="X78" s="94">
        <v>2027</v>
      </c>
      <c r="Y78" s="94">
        <v>2028</v>
      </c>
      <c r="Z78" s="94">
        <v>2029</v>
      </c>
      <c r="AA78" s="94">
        <v>2030</v>
      </c>
      <c r="AB78" s="94">
        <v>2031</v>
      </c>
      <c r="AC78" s="94">
        <v>2032</v>
      </c>
      <c r="AD78" s="94">
        <v>2033</v>
      </c>
      <c r="AE78" s="94">
        <v>2034</v>
      </c>
      <c r="AF78" s="241">
        <v>2035</v>
      </c>
    </row>
    <row r="79" spans="1:32" s="25" customFormat="1" ht="16.5">
      <c r="A79" s="16"/>
      <c r="B79" s="16"/>
      <c r="C79" s="17" t="s">
        <v>7</v>
      </c>
      <c r="D79" s="18" t="s">
        <v>0</v>
      </c>
      <c r="E79" s="19" t="s">
        <v>22</v>
      </c>
      <c r="F79" s="20" t="s">
        <v>23</v>
      </c>
      <c r="G79" s="21">
        <v>1</v>
      </c>
      <c r="H79" s="22">
        <v>2</v>
      </c>
      <c r="I79" s="22">
        <v>3</v>
      </c>
      <c r="J79" s="23">
        <v>4</v>
      </c>
      <c r="K79" s="376">
        <v>5</v>
      </c>
      <c r="L79" s="24">
        <v>6</v>
      </c>
      <c r="M79" s="24">
        <v>7</v>
      </c>
      <c r="N79" s="24">
        <v>8</v>
      </c>
      <c r="O79" s="24">
        <v>9</v>
      </c>
      <c r="P79" s="24">
        <v>10</v>
      </c>
      <c r="Q79" s="24">
        <v>11</v>
      </c>
      <c r="R79" s="24">
        <v>12</v>
      </c>
      <c r="S79" s="24">
        <v>13</v>
      </c>
      <c r="T79" s="24">
        <v>14</v>
      </c>
      <c r="U79" s="24">
        <v>15</v>
      </c>
      <c r="V79" s="242">
        <v>16</v>
      </c>
      <c r="W79" s="24">
        <v>17</v>
      </c>
      <c r="X79" s="24">
        <v>18</v>
      </c>
      <c r="Y79" s="24">
        <v>19</v>
      </c>
      <c r="Z79" s="24">
        <v>20</v>
      </c>
      <c r="AA79" s="24">
        <v>21</v>
      </c>
      <c r="AB79" s="24">
        <v>22</v>
      </c>
      <c r="AC79" s="24">
        <v>23</v>
      </c>
      <c r="AD79" s="24">
        <v>24</v>
      </c>
      <c r="AE79" s="24">
        <v>25</v>
      </c>
      <c r="AF79" s="242">
        <v>26</v>
      </c>
    </row>
    <row r="80" spans="1:32" s="25" customFormat="1" ht="17.25" thickBot="1">
      <c r="A80" s="16"/>
      <c r="B80" s="16"/>
      <c r="C80" s="26" t="s">
        <v>4</v>
      </c>
      <c r="D80" s="27" t="s">
        <v>21</v>
      </c>
      <c r="E80" s="28" t="s">
        <v>21</v>
      </c>
      <c r="F80" s="29" t="s">
        <v>21</v>
      </c>
      <c r="G80" s="30"/>
      <c r="H80" s="31">
        <v>0</v>
      </c>
      <c r="I80" s="31">
        <v>0</v>
      </c>
      <c r="J80" s="32">
        <v>0</v>
      </c>
      <c r="K80" s="378">
        <v>1</v>
      </c>
      <c r="L80" s="33">
        <v>2</v>
      </c>
      <c r="M80" s="33">
        <v>3</v>
      </c>
      <c r="N80" s="33">
        <v>4</v>
      </c>
      <c r="O80" s="33">
        <v>5</v>
      </c>
      <c r="P80" s="33">
        <v>6</v>
      </c>
      <c r="Q80" s="33">
        <v>7</v>
      </c>
      <c r="R80" s="33">
        <v>8</v>
      </c>
      <c r="S80" s="33">
        <v>9</v>
      </c>
      <c r="T80" s="33">
        <v>10</v>
      </c>
      <c r="U80" s="33">
        <v>11</v>
      </c>
      <c r="V80" s="243">
        <v>12</v>
      </c>
      <c r="W80" s="33">
        <v>13</v>
      </c>
      <c r="X80" s="33">
        <v>14</v>
      </c>
      <c r="Y80" s="33">
        <v>15</v>
      </c>
      <c r="Z80" s="33">
        <v>16</v>
      </c>
      <c r="AA80" s="33">
        <v>17</v>
      </c>
      <c r="AB80" s="33">
        <v>18</v>
      </c>
      <c r="AC80" s="33">
        <v>19</v>
      </c>
      <c r="AD80" s="33">
        <v>20</v>
      </c>
      <c r="AE80" s="33">
        <v>21</v>
      </c>
      <c r="AF80" s="243">
        <v>22</v>
      </c>
    </row>
    <row r="81" spans="1:32" s="25" customFormat="1" ht="17.25" thickBot="1">
      <c r="A81" s="153"/>
      <c r="B81" s="34"/>
      <c r="C81" s="12"/>
      <c r="D81" s="188"/>
      <c r="E81" s="188"/>
      <c r="F81" s="189"/>
      <c r="G81" s="58"/>
      <c r="H81" s="59"/>
      <c r="I81" s="59"/>
      <c r="J81" s="60"/>
      <c r="K81" s="376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2"/>
      <c r="W81" s="24"/>
      <c r="X81" s="24"/>
      <c r="Y81" s="24"/>
      <c r="Z81" s="24"/>
      <c r="AA81" s="24"/>
      <c r="AB81" s="24"/>
      <c r="AC81" s="24"/>
      <c r="AD81" s="24"/>
      <c r="AE81" s="24"/>
      <c r="AF81" s="242"/>
    </row>
    <row r="82" spans="1:32" s="35" customFormat="1" ht="15.75" thickBot="1">
      <c r="A82" s="244"/>
      <c r="B82" s="155"/>
      <c r="C82" s="187"/>
      <c r="D82" s="245"/>
      <c r="E82" s="192"/>
      <c r="F82" s="193"/>
      <c r="G82" s="194">
        <v>1</v>
      </c>
      <c r="H82" s="195">
        <f aca="true" t="shared" si="3" ref="H82:AF82">(1+$D$30)^H80</f>
        <v>1</v>
      </c>
      <c r="I82" s="195">
        <f t="shared" si="3"/>
        <v>1</v>
      </c>
      <c r="J82" s="196">
        <f t="shared" si="3"/>
        <v>1</v>
      </c>
      <c r="K82" s="194">
        <f t="shared" si="3"/>
        <v>1.05</v>
      </c>
      <c r="L82" s="195">
        <f t="shared" si="3"/>
        <v>1.1025</v>
      </c>
      <c r="M82" s="195">
        <f t="shared" si="3"/>
        <v>1.1576250000000001</v>
      </c>
      <c r="N82" s="195">
        <f t="shared" si="3"/>
        <v>1.21550625</v>
      </c>
      <c r="O82" s="195">
        <f t="shared" si="3"/>
        <v>1.2762815625000001</v>
      </c>
      <c r="P82" s="195">
        <f t="shared" si="3"/>
        <v>1.340095640625</v>
      </c>
      <c r="Q82" s="195">
        <f t="shared" si="3"/>
        <v>1.4071004226562502</v>
      </c>
      <c r="R82" s="195">
        <f t="shared" si="3"/>
        <v>1.4774554437890626</v>
      </c>
      <c r="S82" s="195">
        <f t="shared" si="3"/>
        <v>1.5513282159785158</v>
      </c>
      <c r="T82" s="195">
        <f t="shared" si="3"/>
        <v>1.6288946267774416</v>
      </c>
      <c r="U82" s="195">
        <f t="shared" si="3"/>
        <v>1.7103393581163138</v>
      </c>
      <c r="V82" s="196">
        <f t="shared" si="3"/>
        <v>1.7958563260221292</v>
      </c>
      <c r="W82" s="195">
        <f t="shared" si="3"/>
        <v>1.885649142323236</v>
      </c>
      <c r="X82" s="195">
        <f t="shared" si="3"/>
        <v>1.9799315994393973</v>
      </c>
      <c r="Y82" s="195">
        <f t="shared" si="3"/>
        <v>2.078928179411368</v>
      </c>
      <c r="Z82" s="195">
        <f t="shared" si="3"/>
        <v>2.182874588381936</v>
      </c>
      <c r="AA82" s="195">
        <f t="shared" si="3"/>
        <v>2.292018317801033</v>
      </c>
      <c r="AB82" s="195">
        <f t="shared" si="3"/>
        <v>2.4066192336910848</v>
      </c>
      <c r="AC82" s="195">
        <f t="shared" si="3"/>
        <v>2.526950195375639</v>
      </c>
      <c r="AD82" s="195">
        <f t="shared" si="3"/>
        <v>2.653297705144421</v>
      </c>
      <c r="AE82" s="195">
        <f t="shared" si="3"/>
        <v>2.785962590401642</v>
      </c>
      <c r="AF82" s="196">
        <f t="shared" si="3"/>
        <v>2.9252607199217238</v>
      </c>
    </row>
    <row r="83" spans="1:32" s="25" customFormat="1" ht="17.25" thickBot="1">
      <c r="A83" s="154"/>
      <c r="B83" s="76"/>
      <c r="C83" s="26"/>
      <c r="D83" s="190"/>
      <c r="E83" s="190"/>
      <c r="F83" s="191"/>
      <c r="G83" s="97"/>
      <c r="H83" s="98"/>
      <c r="I83" s="98"/>
      <c r="J83" s="99"/>
      <c r="K83" s="239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6"/>
      <c r="W83" s="240"/>
      <c r="X83" s="240"/>
      <c r="Y83" s="240"/>
      <c r="Z83" s="240"/>
      <c r="AA83" s="240"/>
      <c r="AB83" s="240"/>
      <c r="AC83" s="240"/>
      <c r="AD83" s="240"/>
      <c r="AE83" s="240"/>
      <c r="AF83" s="246"/>
    </row>
    <row r="84" spans="1:32" s="38" customFormat="1" ht="20.25">
      <c r="A84" s="36"/>
      <c r="B84" s="36"/>
      <c r="C84" s="37" t="s">
        <v>51</v>
      </c>
      <c r="D84" s="202"/>
      <c r="E84" s="203"/>
      <c r="F84" s="204"/>
      <c r="G84" s="115"/>
      <c r="H84" s="116"/>
      <c r="I84" s="116"/>
      <c r="J84" s="117"/>
      <c r="K84" s="379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247"/>
      <c r="W84" s="101"/>
      <c r="X84" s="101"/>
      <c r="Y84" s="101"/>
      <c r="Z84" s="101"/>
      <c r="AA84" s="101"/>
      <c r="AB84" s="101"/>
      <c r="AC84" s="101"/>
      <c r="AD84" s="101"/>
      <c r="AE84" s="101"/>
      <c r="AF84" s="247"/>
    </row>
    <row r="85" spans="1:32" ht="16.5">
      <c r="A85" s="16"/>
      <c r="B85" s="16"/>
      <c r="C85" s="39"/>
      <c r="D85" s="97"/>
      <c r="E85" s="98"/>
      <c r="F85" s="99"/>
      <c r="G85" s="97"/>
      <c r="H85" s="98"/>
      <c r="I85" s="98"/>
      <c r="J85" s="99"/>
      <c r="K85" s="380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248"/>
      <c r="W85" s="102"/>
      <c r="X85" s="102"/>
      <c r="Y85" s="102"/>
      <c r="Z85" s="102"/>
      <c r="AA85" s="102"/>
      <c r="AB85" s="102"/>
      <c r="AC85" s="102"/>
      <c r="AD85" s="102"/>
      <c r="AE85" s="102"/>
      <c r="AF85" s="248"/>
    </row>
    <row r="86" spans="1:32" s="38" customFormat="1" ht="18">
      <c r="A86" s="40"/>
      <c r="B86" s="40"/>
      <c r="C86" s="41" t="s">
        <v>28</v>
      </c>
      <c r="D86" s="159">
        <f aca="true" t="shared" si="4" ref="D86:J86">SUM(D87:D92)</f>
        <v>-128.16</v>
      </c>
      <c r="E86" s="160">
        <f t="shared" si="4"/>
        <v>-128.16</v>
      </c>
      <c r="F86" s="161">
        <f t="shared" si="4"/>
        <v>0</v>
      </c>
      <c r="G86" s="106">
        <f t="shared" si="4"/>
        <v>-24</v>
      </c>
      <c r="H86" s="107">
        <f t="shared" si="4"/>
        <v>-48</v>
      </c>
      <c r="I86" s="107">
        <f t="shared" si="4"/>
        <v>-46</v>
      </c>
      <c r="J86" s="108">
        <f t="shared" si="4"/>
        <v>-10.16</v>
      </c>
      <c r="K86" s="381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249"/>
      <c r="W86" s="109"/>
      <c r="X86" s="109"/>
      <c r="Y86" s="109"/>
      <c r="Z86" s="109"/>
      <c r="AA86" s="109"/>
      <c r="AB86" s="109"/>
      <c r="AC86" s="109"/>
      <c r="AD86" s="109"/>
      <c r="AE86" s="109"/>
      <c r="AF86" s="249"/>
    </row>
    <row r="87" spans="1:32" ht="16.5">
      <c r="A87" s="42"/>
      <c r="B87" s="42"/>
      <c r="C87" s="43" t="s">
        <v>16</v>
      </c>
      <c r="D87" s="156">
        <f aca="true" t="shared" si="5" ref="D87:D92">SUM(G87:AF87)</f>
        <v>-5</v>
      </c>
      <c r="E87" s="157">
        <f aca="true" t="shared" si="6" ref="E87:E92">SUM(G87:J87)</f>
        <v>-5</v>
      </c>
      <c r="F87" s="158">
        <f aca="true" t="shared" si="7" ref="F87:F92">SUM(K87:AF87)</f>
        <v>0</v>
      </c>
      <c r="G87" s="103">
        <f aca="true" t="shared" si="8" ref="G87:J91">-$D9*G9</f>
        <v>-1</v>
      </c>
      <c r="H87" s="104">
        <f t="shared" si="8"/>
        <v>-2</v>
      </c>
      <c r="I87" s="104">
        <f t="shared" si="8"/>
        <v>-1.75</v>
      </c>
      <c r="J87" s="105">
        <f t="shared" si="8"/>
        <v>-0.25</v>
      </c>
      <c r="K87" s="375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250"/>
      <c r="W87" s="100"/>
      <c r="X87" s="100"/>
      <c r="Y87" s="100"/>
      <c r="Z87" s="100"/>
      <c r="AA87" s="100"/>
      <c r="AB87" s="100"/>
      <c r="AC87" s="100"/>
      <c r="AD87" s="100"/>
      <c r="AE87" s="100"/>
      <c r="AF87" s="250"/>
    </row>
    <row r="88" spans="1:32" ht="16.5">
      <c r="A88" s="42"/>
      <c r="B88" s="42"/>
      <c r="C88" s="43" t="s">
        <v>17</v>
      </c>
      <c r="D88" s="156">
        <f t="shared" si="5"/>
        <v>-5</v>
      </c>
      <c r="E88" s="157">
        <f t="shared" si="6"/>
        <v>-5</v>
      </c>
      <c r="F88" s="158">
        <f t="shared" si="7"/>
        <v>0</v>
      </c>
      <c r="G88" s="103">
        <f t="shared" si="8"/>
        <v>-1</v>
      </c>
      <c r="H88" s="104">
        <f t="shared" si="8"/>
        <v>-2</v>
      </c>
      <c r="I88" s="104">
        <f t="shared" si="8"/>
        <v>-1.75</v>
      </c>
      <c r="J88" s="105">
        <f t="shared" si="8"/>
        <v>-0.25</v>
      </c>
      <c r="K88" s="375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250"/>
      <c r="W88" s="100"/>
      <c r="X88" s="100"/>
      <c r="Y88" s="100"/>
      <c r="Z88" s="100"/>
      <c r="AA88" s="100"/>
      <c r="AB88" s="100"/>
      <c r="AC88" s="100"/>
      <c r="AD88" s="100"/>
      <c r="AE88" s="100"/>
      <c r="AF88" s="250"/>
    </row>
    <row r="89" spans="1:32" ht="16.5">
      <c r="A89" s="42"/>
      <c r="B89" s="42"/>
      <c r="C89" s="43" t="s">
        <v>18</v>
      </c>
      <c r="D89" s="156">
        <f t="shared" si="5"/>
        <v>-5</v>
      </c>
      <c r="E89" s="157">
        <f t="shared" si="6"/>
        <v>-5</v>
      </c>
      <c r="F89" s="158">
        <f t="shared" si="7"/>
        <v>0</v>
      </c>
      <c r="G89" s="103">
        <f t="shared" si="8"/>
        <v>-1</v>
      </c>
      <c r="H89" s="104">
        <f t="shared" si="8"/>
        <v>-2</v>
      </c>
      <c r="I89" s="104">
        <f t="shared" si="8"/>
        <v>-1.75</v>
      </c>
      <c r="J89" s="105">
        <f t="shared" si="8"/>
        <v>-0.25</v>
      </c>
      <c r="K89" s="375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250"/>
      <c r="W89" s="100"/>
      <c r="X89" s="100"/>
      <c r="Y89" s="100"/>
      <c r="Z89" s="100"/>
      <c r="AA89" s="100"/>
      <c r="AB89" s="100"/>
      <c r="AC89" s="100"/>
      <c r="AD89" s="100"/>
      <c r="AE89" s="100"/>
      <c r="AF89" s="250"/>
    </row>
    <row r="90" spans="1:32" ht="16.5">
      <c r="A90" s="42"/>
      <c r="B90" s="42"/>
      <c r="C90" s="43" t="s">
        <v>19</v>
      </c>
      <c r="D90" s="156">
        <f t="shared" si="5"/>
        <v>-100</v>
      </c>
      <c r="E90" s="157">
        <f t="shared" si="6"/>
        <v>-100</v>
      </c>
      <c r="F90" s="158">
        <f t="shared" si="7"/>
        <v>0</v>
      </c>
      <c r="G90" s="103">
        <f t="shared" si="8"/>
        <v>-20</v>
      </c>
      <c r="H90" s="104">
        <f t="shared" si="8"/>
        <v>-40</v>
      </c>
      <c r="I90" s="104">
        <f t="shared" si="8"/>
        <v>-35</v>
      </c>
      <c r="J90" s="105">
        <f t="shared" si="8"/>
        <v>-5</v>
      </c>
      <c r="K90" s="375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250"/>
      <c r="W90" s="100"/>
      <c r="X90" s="100"/>
      <c r="Y90" s="100"/>
      <c r="Z90" s="100"/>
      <c r="AA90" s="100"/>
      <c r="AB90" s="100"/>
      <c r="AC90" s="100"/>
      <c r="AD90" s="100"/>
      <c r="AE90" s="100"/>
      <c r="AF90" s="250"/>
    </row>
    <row r="91" spans="1:32" ht="16.5">
      <c r="A91" s="42"/>
      <c r="B91" s="42"/>
      <c r="C91" s="39" t="s">
        <v>1</v>
      </c>
      <c r="D91" s="156">
        <f t="shared" si="5"/>
        <v>-5</v>
      </c>
      <c r="E91" s="157">
        <f t="shared" si="6"/>
        <v>-5</v>
      </c>
      <c r="F91" s="158">
        <f t="shared" si="7"/>
        <v>0</v>
      </c>
      <c r="G91" s="103">
        <f t="shared" si="8"/>
        <v>-1</v>
      </c>
      <c r="H91" s="104">
        <f t="shared" si="8"/>
        <v>-2</v>
      </c>
      <c r="I91" s="104">
        <f t="shared" si="8"/>
        <v>-1.75</v>
      </c>
      <c r="J91" s="105">
        <f t="shared" si="8"/>
        <v>-0.25</v>
      </c>
      <c r="K91" s="382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251"/>
      <c r="W91" s="110"/>
      <c r="X91" s="110"/>
      <c r="Y91" s="110"/>
      <c r="Z91" s="110"/>
      <c r="AA91" s="110"/>
      <c r="AB91" s="110"/>
      <c r="AC91" s="110"/>
      <c r="AD91" s="110"/>
      <c r="AE91" s="110"/>
      <c r="AF91" s="251"/>
    </row>
    <row r="92" spans="1:32" ht="16.5">
      <c r="A92" s="224"/>
      <c r="B92" s="42"/>
      <c r="C92" s="39" t="s">
        <v>37</v>
      </c>
      <c r="D92" s="156">
        <f t="shared" si="5"/>
        <v>-8.16</v>
      </c>
      <c r="E92" s="157">
        <f t="shared" si="6"/>
        <v>-8.16</v>
      </c>
      <c r="F92" s="158">
        <f t="shared" si="7"/>
        <v>0</v>
      </c>
      <c r="G92" s="103">
        <f>-G23</f>
        <v>0</v>
      </c>
      <c r="H92" s="104">
        <f>-H23</f>
        <v>0</v>
      </c>
      <c r="I92" s="104">
        <f>-I23</f>
        <v>-4</v>
      </c>
      <c r="J92" s="105">
        <f>-J23</f>
        <v>-4.16</v>
      </c>
      <c r="K92" s="382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251"/>
      <c r="W92" s="110"/>
      <c r="X92" s="110"/>
      <c r="Y92" s="110"/>
      <c r="Z92" s="110"/>
      <c r="AA92" s="110"/>
      <c r="AB92" s="110"/>
      <c r="AC92" s="110"/>
      <c r="AD92" s="110"/>
      <c r="AE92" s="110"/>
      <c r="AF92" s="251"/>
    </row>
    <row r="93" spans="1:32" s="25" customFormat="1" ht="16.5">
      <c r="A93" s="16"/>
      <c r="B93" s="16"/>
      <c r="C93" s="44"/>
      <c r="D93" s="205"/>
      <c r="E93" s="206"/>
      <c r="F93" s="207"/>
      <c r="G93" s="97"/>
      <c r="H93" s="98"/>
      <c r="I93" s="98"/>
      <c r="J93" s="99"/>
      <c r="K93" s="375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250"/>
      <c r="W93" s="100"/>
      <c r="X93" s="100"/>
      <c r="Y93" s="100"/>
      <c r="Z93" s="100"/>
      <c r="AA93" s="100"/>
      <c r="AB93" s="100"/>
      <c r="AC93" s="100"/>
      <c r="AD93" s="100"/>
      <c r="AE93" s="100"/>
      <c r="AF93" s="250"/>
    </row>
    <row r="94" spans="1:32" s="38" customFormat="1" ht="18">
      <c r="A94" s="40"/>
      <c r="B94" s="40"/>
      <c r="C94" s="41" t="s">
        <v>6</v>
      </c>
      <c r="D94" s="162">
        <f>SUM(G94:AF94)</f>
        <v>128.16</v>
      </c>
      <c r="E94" s="163">
        <f>SUM(G94:J94)</f>
        <v>128.16</v>
      </c>
      <c r="F94" s="164">
        <f>SUM(K94:AF94)</f>
        <v>0</v>
      </c>
      <c r="G94" s="111">
        <f>SUM(G95:G97)</f>
        <v>0</v>
      </c>
      <c r="H94" s="112">
        <f>SUM(H95:H97)</f>
        <v>0</v>
      </c>
      <c r="I94" s="112">
        <f>SUM(I95:I97)</f>
        <v>64.08</v>
      </c>
      <c r="J94" s="113">
        <f>SUM(J95:J97)</f>
        <v>64.08</v>
      </c>
      <c r="K94" s="383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252"/>
      <c r="W94" s="114"/>
      <c r="X94" s="114"/>
      <c r="Y94" s="114"/>
      <c r="Z94" s="114"/>
      <c r="AA94" s="114"/>
      <c r="AB94" s="114"/>
      <c r="AC94" s="114"/>
      <c r="AD94" s="114"/>
      <c r="AE94" s="114"/>
      <c r="AF94" s="252"/>
    </row>
    <row r="95" spans="1:32" ht="16.5">
      <c r="A95" s="42"/>
      <c r="B95" s="42"/>
      <c r="C95" s="39" t="s">
        <v>43</v>
      </c>
      <c r="D95" s="156">
        <f>SUM(G95:AF95)</f>
        <v>0</v>
      </c>
      <c r="E95" s="157">
        <f>SUM(G95:J95)</f>
        <v>0</v>
      </c>
      <c r="F95" s="158">
        <f>SUM(K95:AF95)</f>
        <v>0</v>
      </c>
      <c r="G95" s="103">
        <f aca="true" t="shared" si="9" ref="G95:J96">$D17*G17</f>
        <v>0</v>
      </c>
      <c r="H95" s="104">
        <f t="shared" si="9"/>
        <v>0</v>
      </c>
      <c r="I95" s="104">
        <f t="shared" si="9"/>
        <v>0</v>
      </c>
      <c r="J95" s="105">
        <f t="shared" si="9"/>
        <v>0</v>
      </c>
      <c r="K95" s="380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248"/>
      <c r="W95" s="102"/>
      <c r="X95" s="102"/>
      <c r="Y95" s="102"/>
      <c r="Z95" s="102"/>
      <c r="AA95" s="102"/>
      <c r="AB95" s="102"/>
      <c r="AC95" s="102"/>
      <c r="AD95" s="102"/>
      <c r="AE95" s="102"/>
      <c r="AF95" s="248"/>
    </row>
    <row r="96" spans="1:32" ht="16.5">
      <c r="A96" s="225"/>
      <c r="B96" s="42"/>
      <c r="C96" s="39" t="s">
        <v>3</v>
      </c>
      <c r="D96" s="156">
        <f>SUM(G96:AF96)</f>
        <v>20</v>
      </c>
      <c r="E96" s="157">
        <f>SUM(G96:J96)</f>
        <v>20</v>
      </c>
      <c r="F96" s="158">
        <f>SUM(K96:AF96)</f>
        <v>0</v>
      </c>
      <c r="G96" s="103">
        <f t="shared" si="9"/>
        <v>0</v>
      </c>
      <c r="H96" s="104">
        <f t="shared" si="9"/>
        <v>0</v>
      </c>
      <c r="I96" s="104">
        <f t="shared" si="9"/>
        <v>10</v>
      </c>
      <c r="J96" s="105">
        <f t="shared" si="9"/>
        <v>10</v>
      </c>
      <c r="K96" s="380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248"/>
      <c r="W96" s="102"/>
      <c r="X96" s="102"/>
      <c r="Y96" s="102"/>
      <c r="Z96" s="102"/>
      <c r="AA96" s="102"/>
      <c r="AB96" s="102"/>
      <c r="AC96" s="102"/>
      <c r="AD96" s="102"/>
      <c r="AE96" s="102"/>
      <c r="AF96" s="248"/>
    </row>
    <row r="97" spans="1:32" ht="16.5">
      <c r="A97" s="226"/>
      <c r="B97" s="42"/>
      <c r="C97" s="39" t="s">
        <v>34</v>
      </c>
      <c r="D97" s="156">
        <f>SUM(G97:AF97)</f>
        <v>108.16</v>
      </c>
      <c r="E97" s="157">
        <f>SUM(G97:J97)</f>
        <v>108.16</v>
      </c>
      <c r="F97" s="158">
        <f>SUM(K97:AF97)</f>
        <v>0</v>
      </c>
      <c r="G97" s="103">
        <f>$D24*G22</f>
        <v>0</v>
      </c>
      <c r="H97" s="104">
        <f>$D24*H22</f>
        <v>0</v>
      </c>
      <c r="I97" s="104">
        <f>$D24*I22</f>
        <v>54.08</v>
      </c>
      <c r="J97" s="105">
        <f>$D24*J22</f>
        <v>54.08</v>
      </c>
      <c r="K97" s="380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248"/>
      <c r="W97" s="102"/>
      <c r="X97" s="102"/>
      <c r="Y97" s="102"/>
      <c r="Z97" s="102"/>
      <c r="AA97" s="102"/>
      <c r="AB97" s="102"/>
      <c r="AC97" s="102"/>
      <c r="AD97" s="102"/>
      <c r="AE97" s="102"/>
      <c r="AF97" s="248"/>
    </row>
    <row r="98" spans="1:32" ht="17.25" thickBot="1">
      <c r="A98" s="42"/>
      <c r="B98" s="42"/>
      <c r="C98" s="39"/>
      <c r="D98" s="97"/>
      <c r="E98" s="98"/>
      <c r="F98" s="99"/>
      <c r="G98" s="208"/>
      <c r="H98" s="209"/>
      <c r="I98" s="209"/>
      <c r="J98" s="210"/>
      <c r="K98" s="384"/>
      <c r="L98" s="385"/>
      <c r="M98" s="385"/>
      <c r="N98" s="385"/>
      <c r="O98" s="385"/>
      <c r="P98" s="385"/>
      <c r="Q98" s="385"/>
      <c r="R98" s="385"/>
      <c r="S98" s="385"/>
      <c r="T98" s="385"/>
      <c r="U98" s="385"/>
      <c r="V98" s="386"/>
      <c r="W98" s="110"/>
      <c r="X98" s="110"/>
      <c r="Y98" s="110"/>
      <c r="Z98" s="110"/>
      <c r="AA98" s="110"/>
      <c r="AB98" s="110"/>
      <c r="AC98" s="110"/>
      <c r="AD98" s="110"/>
      <c r="AE98" s="110"/>
      <c r="AF98" s="251"/>
    </row>
    <row r="99" spans="1:32" s="47" customFormat="1" ht="20.25">
      <c r="A99" s="45"/>
      <c r="B99" s="45"/>
      <c r="C99" s="46" t="s">
        <v>50</v>
      </c>
      <c r="D99" s="115"/>
      <c r="E99" s="116"/>
      <c r="F99" s="117"/>
      <c r="G99" s="115"/>
      <c r="H99" s="116"/>
      <c r="I99" s="116"/>
      <c r="J99" s="117"/>
      <c r="K99" s="211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53"/>
      <c r="W99" s="212"/>
      <c r="X99" s="212"/>
      <c r="Y99" s="212"/>
      <c r="Z99" s="212"/>
      <c r="AA99" s="212"/>
      <c r="AB99" s="212"/>
      <c r="AC99" s="212"/>
      <c r="AD99" s="212"/>
      <c r="AE99" s="212"/>
      <c r="AF99" s="253"/>
    </row>
    <row r="100" spans="1:32" ht="16.5">
      <c r="A100" s="42"/>
      <c r="B100" s="42"/>
      <c r="C100" s="50"/>
      <c r="D100" s="97"/>
      <c r="E100" s="98"/>
      <c r="F100" s="99"/>
      <c r="G100" s="97"/>
      <c r="H100" s="98"/>
      <c r="I100" s="98"/>
      <c r="J100" s="99"/>
      <c r="K100" s="123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5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5"/>
    </row>
    <row r="101" spans="1:32" s="9" customFormat="1" ht="18">
      <c r="A101" s="40"/>
      <c r="B101" s="40"/>
      <c r="C101" s="41" t="s">
        <v>2</v>
      </c>
      <c r="D101" s="159">
        <f aca="true" t="shared" si="10" ref="D101:D107">SUM(G101:AF101)</f>
        <v>531.8906795791534</v>
      </c>
      <c r="E101" s="160">
        <f aca="true" t="shared" si="11" ref="E101:E107">SUM(G101:J101)</f>
        <v>0</v>
      </c>
      <c r="F101" s="161">
        <f aca="true" t="shared" si="12" ref="F101:F107">SUM(K101:AF101)</f>
        <v>531.8906795791534</v>
      </c>
      <c r="G101" s="118"/>
      <c r="H101" s="119"/>
      <c r="I101" s="119"/>
      <c r="J101" s="120"/>
      <c r="K101" s="121">
        <f aca="true" t="shared" si="13" ref="K101:AF101">SUM(K102:K107)</f>
        <v>24.029375757575757</v>
      </c>
      <c r="L101" s="122">
        <f t="shared" si="13"/>
        <v>23.76990878787879</v>
      </c>
      <c r="M101" s="122">
        <f t="shared" si="13"/>
        <v>23.52631113636363</v>
      </c>
      <c r="N101" s="122">
        <f t="shared" si="13"/>
        <v>23.29937626893939</v>
      </c>
      <c r="O101" s="122">
        <f t="shared" si="13"/>
        <v>23.089937324810606</v>
      </c>
      <c r="P101" s="122">
        <f t="shared" si="13"/>
        <v>22.898869100142043</v>
      </c>
      <c r="Q101" s="122">
        <f t="shared" si="13"/>
        <v>22.727090130906724</v>
      </c>
      <c r="R101" s="122">
        <f t="shared" si="13"/>
        <v>22.575564879876303</v>
      </c>
      <c r="S101" s="122">
        <f t="shared" si="13"/>
        <v>22.445306032961028</v>
      </c>
      <c r="T101" s="122">
        <f t="shared" si="13"/>
        <v>22.337376910366654</v>
      </c>
      <c r="U101" s="122">
        <f t="shared" si="13"/>
        <v>22.252893998309226</v>
      </c>
      <c r="V101" s="254">
        <f t="shared" si="13"/>
        <v>22.1930296073156</v>
      </c>
      <c r="W101" s="122">
        <f t="shared" si="13"/>
        <v>22.73586799677229</v>
      </c>
      <c r="X101" s="122">
        <f t="shared" si="13"/>
        <v>23.30584830570181</v>
      </c>
      <c r="Y101" s="122">
        <f t="shared" si="13"/>
        <v>23.904327630077816</v>
      </c>
      <c r="Z101" s="122">
        <f t="shared" si="13"/>
        <v>24.532730920672613</v>
      </c>
      <c r="AA101" s="122">
        <f t="shared" si="13"/>
        <v>25.192554375797155</v>
      </c>
      <c r="AB101" s="122">
        <f t="shared" si="13"/>
        <v>25.885369003677923</v>
      </c>
      <c r="AC101" s="122">
        <f t="shared" si="13"/>
        <v>26.61282436295273</v>
      </c>
      <c r="AD101" s="122">
        <f t="shared" si="13"/>
        <v>27.376652490191272</v>
      </c>
      <c r="AE101" s="122">
        <f t="shared" si="13"/>
        <v>28.17867202379174</v>
      </c>
      <c r="AF101" s="254">
        <f t="shared" si="13"/>
        <v>29.02079253407224</v>
      </c>
    </row>
    <row r="102" spans="1:34" ht="16.5">
      <c r="A102" s="224"/>
      <c r="B102" s="49"/>
      <c r="C102" s="39" t="s">
        <v>24</v>
      </c>
      <c r="D102" s="156">
        <f t="shared" si="10"/>
        <v>39.99999999999999</v>
      </c>
      <c r="E102" s="157">
        <f t="shared" si="11"/>
        <v>0</v>
      </c>
      <c r="F102" s="158">
        <f t="shared" si="12"/>
        <v>39.99999999999999</v>
      </c>
      <c r="G102" s="97"/>
      <c r="H102" s="98"/>
      <c r="I102" s="98"/>
      <c r="J102" s="99"/>
      <c r="K102" s="103">
        <f aca="true" t="shared" si="14" ref="K102:AF102">$D$18*$D$19/22</f>
        <v>1.8181818181818181</v>
      </c>
      <c r="L102" s="104">
        <f t="shared" si="14"/>
        <v>1.8181818181818181</v>
      </c>
      <c r="M102" s="104">
        <f t="shared" si="14"/>
        <v>1.8181818181818181</v>
      </c>
      <c r="N102" s="104">
        <f t="shared" si="14"/>
        <v>1.8181818181818181</v>
      </c>
      <c r="O102" s="104">
        <f t="shared" si="14"/>
        <v>1.8181818181818181</v>
      </c>
      <c r="P102" s="104">
        <f t="shared" si="14"/>
        <v>1.8181818181818181</v>
      </c>
      <c r="Q102" s="104">
        <f t="shared" si="14"/>
        <v>1.8181818181818181</v>
      </c>
      <c r="R102" s="104">
        <f t="shared" si="14"/>
        <v>1.8181818181818181</v>
      </c>
      <c r="S102" s="104">
        <f t="shared" si="14"/>
        <v>1.8181818181818181</v>
      </c>
      <c r="T102" s="104">
        <f t="shared" si="14"/>
        <v>1.8181818181818181</v>
      </c>
      <c r="U102" s="104">
        <f t="shared" si="14"/>
        <v>1.8181818181818181</v>
      </c>
      <c r="V102" s="105">
        <f t="shared" si="14"/>
        <v>1.8181818181818181</v>
      </c>
      <c r="W102" s="104">
        <f t="shared" si="14"/>
        <v>1.8181818181818181</v>
      </c>
      <c r="X102" s="104">
        <f t="shared" si="14"/>
        <v>1.8181818181818181</v>
      </c>
      <c r="Y102" s="104">
        <f t="shared" si="14"/>
        <v>1.8181818181818181</v>
      </c>
      <c r="Z102" s="104">
        <f t="shared" si="14"/>
        <v>1.8181818181818181</v>
      </c>
      <c r="AA102" s="104">
        <f t="shared" si="14"/>
        <v>1.8181818181818181</v>
      </c>
      <c r="AB102" s="104">
        <f t="shared" si="14"/>
        <v>1.8181818181818181</v>
      </c>
      <c r="AC102" s="104">
        <f t="shared" si="14"/>
        <v>1.8181818181818181</v>
      </c>
      <c r="AD102" s="104">
        <f t="shared" si="14"/>
        <v>1.8181818181818181</v>
      </c>
      <c r="AE102" s="104">
        <f t="shared" si="14"/>
        <v>1.8181818181818181</v>
      </c>
      <c r="AF102" s="105">
        <f t="shared" si="14"/>
        <v>1.8181818181818181</v>
      </c>
      <c r="AG102" s="51"/>
      <c r="AH102" s="51"/>
    </row>
    <row r="103" spans="1:34" ht="16.5">
      <c r="A103" s="42"/>
      <c r="B103" s="42"/>
      <c r="C103" s="39" t="s">
        <v>26</v>
      </c>
      <c r="D103" s="156">
        <f t="shared" si="10"/>
        <v>158.63466666666667</v>
      </c>
      <c r="E103" s="157">
        <f t="shared" si="11"/>
        <v>0</v>
      </c>
      <c r="F103" s="158">
        <f t="shared" si="12"/>
        <v>158.63466666666667</v>
      </c>
      <c r="G103" s="97"/>
      <c r="H103" s="98"/>
      <c r="I103" s="98"/>
      <c r="J103" s="99"/>
      <c r="K103" s="126">
        <f aca="true" t="shared" si="15" ref="K103:V103">-K110</f>
        <v>7.210666666666667</v>
      </c>
      <c r="L103" s="127">
        <f t="shared" si="15"/>
        <v>7.210666666666667</v>
      </c>
      <c r="M103" s="127">
        <f t="shared" si="15"/>
        <v>7.210666666666667</v>
      </c>
      <c r="N103" s="127">
        <f t="shared" si="15"/>
        <v>7.210666666666667</v>
      </c>
      <c r="O103" s="127">
        <f t="shared" si="15"/>
        <v>7.210666666666667</v>
      </c>
      <c r="P103" s="127">
        <f t="shared" si="15"/>
        <v>7.210666666666667</v>
      </c>
      <c r="Q103" s="127">
        <f t="shared" si="15"/>
        <v>7.210666666666667</v>
      </c>
      <c r="R103" s="127">
        <f t="shared" si="15"/>
        <v>7.210666666666667</v>
      </c>
      <c r="S103" s="127">
        <f t="shared" si="15"/>
        <v>7.210666666666667</v>
      </c>
      <c r="T103" s="127">
        <f t="shared" si="15"/>
        <v>7.210666666666667</v>
      </c>
      <c r="U103" s="127">
        <f t="shared" si="15"/>
        <v>7.210666666666667</v>
      </c>
      <c r="V103" s="255">
        <f t="shared" si="15"/>
        <v>7.210666666666667</v>
      </c>
      <c r="W103" s="197">
        <f aca="true" t="shared" si="16" ref="W103:AF103">V103</f>
        <v>7.210666666666667</v>
      </c>
      <c r="X103" s="197">
        <f t="shared" si="16"/>
        <v>7.210666666666667</v>
      </c>
      <c r="Y103" s="197">
        <f t="shared" si="16"/>
        <v>7.210666666666667</v>
      </c>
      <c r="Z103" s="197">
        <f t="shared" si="16"/>
        <v>7.210666666666667</v>
      </c>
      <c r="AA103" s="197">
        <f t="shared" si="16"/>
        <v>7.210666666666667</v>
      </c>
      <c r="AB103" s="197">
        <f t="shared" si="16"/>
        <v>7.210666666666667</v>
      </c>
      <c r="AC103" s="197">
        <f t="shared" si="16"/>
        <v>7.210666666666667</v>
      </c>
      <c r="AD103" s="197">
        <f t="shared" si="16"/>
        <v>7.210666666666667</v>
      </c>
      <c r="AE103" s="197">
        <f t="shared" si="16"/>
        <v>7.210666666666667</v>
      </c>
      <c r="AF103" s="198">
        <f t="shared" si="16"/>
        <v>7.210666666666667</v>
      </c>
      <c r="AG103" s="51"/>
      <c r="AH103" s="51"/>
    </row>
    <row r="104" spans="1:34" ht="16.5">
      <c r="A104" s="224"/>
      <c r="B104" s="49"/>
      <c r="C104" s="39" t="s">
        <v>25</v>
      </c>
      <c r="D104" s="156">
        <f t="shared" si="10"/>
        <v>88.83541333333329</v>
      </c>
      <c r="E104" s="157">
        <f t="shared" si="11"/>
        <v>0</v>
      </c>
      <c r="F104" s="158">
        <f t="shared" si="12"/>
        <v>88.83541333333329</v>
      </c>
      <c r="G104" s="97"/>
      <c r="H104" s="98"/>
      <c r="I104" s="98"/>
      <c r="J104" s="99"/>
      <c r="K104" s="126">
        <f aca="true" t="shared" si="17" ref="K104:V104">-K111</f>
        <v>8.6528</v>
      </c>
      <c r="L104" s="127">
        <f t="shared" si="17"/>
        <v>8.075946666666667</v>
      </c>
      <c r="M104" s="127">
        <f t="shared" si="17"/>
        <v>7.499093333333333</v>
      </c>
      <c r="N104" s="127">
        <f t="shared" si="17"/>
        <v>6.9222399999999995</v>
      </c>
      <c r="O104" s="127">
        <f t="shared" si="17"/>
        <v>6.345386666666666</v>
      </c>
      <c r="P104" s="127">
        <f t="shared" si="17"/>
        <v>5.768533333333332</v>
      </c>
      <c r="Q104" s="127">
        <f t="shared" si="17"/>
        <v>5.191679999999999</v>
      </c>
      <c r="R104" s="127">
        <f t="shared" si="17"/>
        <v>4.614826666666666</v>
      </c>
      <c r="S104" s="127">
        <f t="shared" si="17"/>
        <v>4.0379733333333325</v>
      </c>
      <c r="T104" s="127">
        <f t="shared" si="17"/>
        <v>3.4611199999999998</v>
      </c>
      <c r="U104" s="127">
        <f t="shared" si="17"/>
        <v>2.884266666666666</v>
      </c>
      <c r="V104" s="255">
        <f t="shared" si="17"/>
        <v>2.307413333333333</v>
      </c>
      <c r="W104" s="197">
        <f aca="true" t="shared" si="18" ref="W104:AF104">V104</f>
        <v>2.307413333333333</v>
      </c>
      <c r="X104" s="197">
        <f t="shared" si="18"/>
        <v>2.307413333333333</v>
      </c>
      <c r="Y104" s="197">
        <f t="shared" si="18"/>
        <v>2.307413333333333</v>
      </c>
      <c r="Z104" s="197">
        <f t="shared" si="18"/>
        <v>2.307413333333333</v>
      </c>
      <c r="AA104" s="197">
        <f t="shared" si="18"/>
        <v>2.307413333333333</v>
      </c>
      <c r="AB104" s="197">
        <f t="shared" si="18"/>
        <v>2.307413333333333</v>
      </c>
      <c r="AC104" s="197">
        <f t="shared" si="18"/>
        <v>2.307413333333333</v>
      </c>
      <c r="AD104" s="197">
        <f t="shared" si="18"/>
        <v>2.307413333333333</v>
      </c>
      <c r="AE104" s="197">
        <f t="shared" si="18"/>
        <v>2.307413333333333</v>
      </c>
      <c r="AF104" s="198">
        <f t="shared" si="18"/>
        <v>2.307413333333333</v>
      </c>
      <c r="AG104" s="51"/>
      <c r="AH104" s="51"/>
    </row>
    <row r="105" spans="1:34" ht="16.5">
      <c r="A105" s="224"/>
      <c r="B105" s="49"/>
      <c r="C105" s="39" t="s">
        <v>27</v>
      </c>
      <c r="D105" s="156">
        <f t="shared" si="10"/>
        <v>22.052986428194284</v>
      </c>
      <c r="E105" s="157">
        <f t="shared" si="11"/>
        <v>0</v>
      </c>
      <c r="F105" s="158">
        <f t="shared" si="12"/>
        <v>22.052986428194284</v>
      </c>
      <c r="G105" s="97"/>
      <c r="H105" s="98"/>
      <c r="I105" s="98"/>
      <c r="J105" s="99"/>
      <c r="K105" s="126">
        <f aca="true" t="shared" si="19" ref="K105:V105">-K112</f>
        <v>0.5727272727272728</v>
      </c>
      <c r="L105" s="127">
        <f t="shared" si="19"/>
        <v>0.6013636363636363</v>
      </c>
      <c r="M105" s="127">
        <f t="shared" si="19"/>
        <v>0.6314318181818181</v>
      </c>
      <c r="N105" s="127">
        <f t="shared" si="19"/>
        <v>0.663003409090909</v>
      </c>
      <c r="O105" s="127">
        <f t="shared" si="19"/>
        <v>0.6961535795454545</v>
      </c>
      <c r="P105" s="127">
        <f t="shared" si="19"/>
        <v>0.7309612585227272</v>
      </c>
      <c r="Q105" s="127">
        <f t="shared" si="19"/>
        <v>0.7675093214488637</v>
      </c>
      <c r="R105" s="127">
        <f t="shared" si="19"/>
        <v>0.8058847875213068</v>
      </c>
      <c r="S105" s="127">
        <f t="shared" si="19"/>
        <v>0.8461790268973722</v>
      </c>
      <c r="T105" s="127">
        <f t="shared" si="19"/>
        <v>0.8884879782422408</v>
      </c>
      <c r="U105" s="127">
        <f t="shared" si="19"/>
        <v>0.9329123771543529</v>
      </c>
      <c r="V105" s="255">
        <f t="shared" si="19"/>
        <v>0.9795579960120704</v>
      </c>
      <c r="W105" s="127">
        <f aca="true" t="shared" si="20" ref="W105:AF105">-W112</f>
        <v>1.028535895812674</v>
      </c>
      <c r="X105" s="127">
        <f t="shared" si="20"/>
        <v>1.0799626906033075</v>
      </c>
      <c r="Y105" s="127">
        <f t="shared" si="20"/>
        <v>1.1339608251334734</v>
      </c>
      <c r="Z105" s="127">
        <f t="shared" si="20"/>
        <v>1.190658866390147</v>
      </c>
      <c r="AA105" s="127">
        <f t="shared" si="20"/>
        <v>1.2501918097096543</v>
      </c>
      <c r="AB105" s="127">
        <f t="shared" si="20"/>
        <v>1.3127014001951371</v>
      </c>
      <c r="AC105" s="127">
        <f t="shared" si="20"/>
        <v>1.378336470204894</v>
      </c>
      <c r="AD105" s="127">
        <f t="shared" si="20"/>
        <v>1.4472532937151386</v>
      </c>
      <c r="AE105" s="127">
        <f t="shared" si="20"/>
        <v>1.5196159584008955</v>
      </c>
      <c r="AF105" s="255">
        <f t="shared" si="20"/>
        <v>1.5955967563209401</v>
      </c>
      <c r="AG105" s="51"/>
      <c r="AH105" s="51"/>
    </row>
    <row r="106" spans="1:32" ht="16.5">
      <c r="A106" s="42"/>
      <c r="B106" s="42"/>
      <c r="C106" s="39" t="s">
        <v>10</v>
      </c>
      <c r="D106" s="156">
        <f t="shared" si="10"/>
        <v>222.3676131509591</v>
      </c>
      <c r="E106" s="157">
        <f t="shared" si="11"/>
        <v>0</v>
      </c>
      <c r="F106" s="158">
        <f t="shared" si="12"/>
        <v>222.3676131509591</v>
      </c>
      <c r="G106" s="97"/>
      <c r="H106" s="98"/>
      <c r="I106" s="98"/>
      <c r="J106" s="99"/>
      <c r="K106" s="126">
        <f aca="true" t="shared" si="21" ref="K106:V106">-K113</f>
        <v>5.775</v>
      </c>
      <c r="L106" s="127">
        <f t="shared" si="21"/>
        <v>6.063750000000001</v>
      </c>
      <c r="M106" s="127">
        <f t="shared" si="21"/>
        <v>6.366937500000001</v>
      </c>
      <c r="N106" s="127">
        <f t="shared" si="21"/>
        <v>6.685284375</v>
      </c>
      <c r="O106" s="127">
        <f t="shared" si="21"/>
        <v>7.019548593750001</v>
      </c>
      <c r="P106" s="127">
        <f t="shared" si="21"/>
        <v>7.3705260234375</v>
      </c>
      <c r="Q106" s="127">
        <f t="shared" si="21"/>
        <v>7.739052324609377</v>
      </c>
      <c r="R106" s="127">
        <f t="shared" si="21"/>
        <v>8.126004940839843</v>
      </c>
      <c r="S106" s="127">
        <f t="shared" si="21"/>
        <v>8.532305187881837</v>
      </c>
      <c r="T106" s="127">
        <f t="shared" si="21"/>
        <v>8.95892044727593</v>
      </c>
      <c r="U106" s="127">
        <f t="shared" si="21"/>
        <v>9.406866469639725</v>
      </c>
      <c r="V106" s="255">
        <f t="shared" si="21"/>
        <v>9.877209793121711</v>
      </c>
      <c r="W106" s="127">
        <f aca="true" t="shared" si="22" ref="W106:AF106">-W113</f>
        <v>10.371070282777797</v>
      </c>
      <c r="X106" s="127">
        <f t="shared" si="22"/>
        <v>10.889623796916686</v>
      </c>
      <c r="Y106" s="127">
        <f t="shared" si="22"/>
        <v>11.434104986762524</v>
      </c>
      <c r="Z106" s="127">
        <f t="shared" si="22"/>
        <v>12.005810236100649</v>
      </c>
      <c r="AA106" s="127">
        <f t="shared" si="22"/>
        <v>12.606100747905682</v>
      </c>
      <c r="AB106" s="127">
        <f t="shared" si="22"/>
        <v>13.236405785300967</v>
      </c>
      <c r="AC106" s="127">
        <f t="shared" si="22"/>
        <v>13.898226074566015</v>
      </c>
      <c r="AD106" s="127">
        <f t="shared" si="22"/>
        <v>14.593137378294315</v>
      </c>
      <c r="AE106" s="127">
        <f t="shared" si="22"/>
        <v>15.32279424720903</v>
      </c>
      <c r="AF106" s="255">
        <f t="shared" si="22"/>
        <v>16.08893395956948</v>
      </c>
    </row>
    <row r="107" spans="1:32" ht="16.5">
      <c r="A107" s="42"/>
      <c r="B107" s="42"/>
      <c r="C107" s="39" t="s">
        <v>9</v>
      </c>
      <c r="D107" s="156">
        <f t="shared" si="10"/>
        <v>0</v>
      </c>
      <c r="E107" s="157">
        <f t="shared" si="11"/>
        <v>0</v>
      </c>
      <c r="F107" s="158">
        <f t="shared" si="12"/>
        <v>0</v>
      </c>
      <c r="G107" s="97"/>
      <c r="H107" s="98"/>
      <c r="I107" s="98"/>
      <c r="J107" s="99"/>
      <c r="K107" s="126">
        <f aca="true" t="shared" si="23" ref="K107:V107">-K114</f>
        <v>0</v>
      </c>
      <c r="L107" s="127">
        <f t="shared" si="23"/>
        <v>0</v>
      </c>
      <c r="M107" s="127">
        <f t="shared" si="23"/>
        <v>0</v>
      </c>
      <c r="N107" s="127">
        <f t="shared" si="23"/>
        <v>0</v>
      </c>
      <c r="O107" s="127">
        <f t="shared" si="23"/>
        <v>0</v>
      </c>
      <c r="P107" s="127">
        <f t="shared" si="23"/>
        <v>0</v>
      </c>
      <c r="Q107" s="127">
        <f t="shared" si="23"/>
        <v>0</v>
      </c>
      <c r="R107" s="127">
        <f t="shared" si="23"/>
        <v>0</v>
      </c>
      <c r="S107" s="127">
        <f t="shared" si="23"/>
        <v>0</v>
      </c>
      <c r="T107" s="127">
        <f t="shared" si="23"/>
        <v>0</v>
      </c>
      <c r="U107" s="127">
        <f t="shared" si="23"/>
        <v>0</v>
      </c>
      <c r="V107" s="255">
        <f t="shared" si="23"/>
        <v>0</v>
      </c>
      <c r="W107" s="127">
        <f aca="true" t="shared" si="24" ref="W107:AF107">-W114</f>
        <v>0</v>
      </c>
      <c r="X107" s="127">
        <f t="shared" si="24"/>
        <v>0</v>
      </c>
      <c r="Y107" s="127">
        <f t="shared" si="24"/>
        <v>0</v>
      </c>
      <c r="Z107" s="127">
        <f t="shared" si="24"/>
        <v>0</v>
      </c>
      <c r="AA107" s="127">
        <f t="shared" si="24"/>
        <v>0</v>
      </c>
      <c r="AB107" s="127">
        <f t="shared" si="24"/>
        <v>0</v>
      </c>
      <c r="AC107" s="127">
        <f t="shared" si="24"/>
        <v>0</v>
      </c>
      <c r="AD107" s="127">
        <f t="shared" si="24"/>
        <v>0</v>
      </c>
      <c r="AE107" s="127">
        <f t="shared" si="24"/>
        <v>0</v>
      </c>
      <c r="AF107" s="255">
        <f t="shared" si="24"/>
        <v>0</v>
      </c>
    </row>
    <row r="108" spans="1:32" ht="16.5">
      <c r="A108" s="42"/>
      <c r="B108" s="42"/>
      <c r="C108" s="48"/>
      <c r="D108" s="97"/>
      <c r="E108" s="98"/>
      <c r="F108" s="99"/>
      <c r="G108" s="97"/>
      <c r="H108" s="98"/>
      <c r="I108" s="98"/>
      <c r="J108" s="99"/>
      <c r="K108" s="97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9"/>
      <c r="W108" s="98"/>
      <c r="X108" s="98"/>
      <c r="Y108" s="98"/>
      <c r="Z108" s="98"/>
      <c r="AA108" s="98"/>
      <c r="AB108" s="98"/>
      <c r="AC108" s="98"/>
      <c r="AD108" s="98"/>
      <c r="AE108" s="98"/>
      <c r="AF108" s="99"/>
    </row>
    <row r="109" spans="1:32" s="9" customFormat="1" ht="18">
      <c r="A109" s="40"/>
      <c r="B109" s="40"/>
      <c r="C109" s="41" t="s">
        <v>20</v>
      </c>
      <c r="D109" s="159">
        <f aca="true" t="shared" si="25" ref="D109:D114">SUM(G109:AF109)</f>
        <v>-421.8029995791534</v>
      </c>
      <c r="E109" s="160">
        <f aca="true" t="shared" si="26" ref="E109:E114">SUM(G109:J109)</f>
        <v>0</v>
      </c>
      <c r="F109" s="161">
        <f aca="true" t="shared" si="27" ref="F109:F114">SUM(K109:AF109)</f>
        <v>-421.8029995791534</v>
      </c>
      <c r="G109" s="118"/>
      <c r="H109" s="119"/>
      <c r="I109" s="119"/>
      <c r="J109" s="120"/>
      <c r="K109" s="121">
        <f aca="true" t="shared" si="28" ref="K109:AF109">SUM(K110:K114)</f>
        <v>-22.211193939393937</v>
      </c>
      <c r="L109" s="122">
        <f t="shared" si="28"/>
        <v>-21.95172696969697</v>
      </c>
      <c r="M109" s="122">
        <f t="shared" si="28"/>
        <v>-21.70812931818182</v>
      </c>
      <c r="N109" s="122">
        <f t="shared" si="28"/>
        <v>-21.481194450757577</v>
      </c>
      <c r="O109" s="122">
        <f t="shared" si="28"/>
        <v>-21.271755506628786</v>
      </c>
      <c r="P109" s="122">
        <f t="shared" si="28"/>
        <v>-21.080687281960227</v>
      </c>
      <c r="Q109" s="122">
        <f t="shared" si="28"/>
        <v>-20.908908312724908</v>
      </c>
      <c r="R109" s="122">
        <f t="shared" si="28"/>
        <v>-20.757383061694483</v>
      </c>
      <c r="S109" s="122">
        <f t="shared" si="28"/>
        <v>-20.627124214779208</v>
      </c>
      <c r="T109" s="122">
        <f t="shared" si="28"/>
        <v>-20.519195092184837</v>
      </c>
      <c r="U109" s="122">
        <f t="shared" si="28"/>
        <v>-20.434712180127413</v>
      </c>
      <c r="V109" s="254">
        <f t="shared" si="28"/>
        <v>-20.37484778913378</v>
      </c>
      <c r="W109" s="122">
        <f t="shared" si="28"/>
        <v>-20.340832845257136</v>
      </c>
      <c r="X109" s="122">
        <f t="shared" si="28"/>
        <v>-20.333959820853327</v>
      </c>
      <c r="Y109" s="122">
        <f t="shared" si="28"/>
        <v>-20.355585811895995</v>
      </c>
      <c r="Z109" s="122">
        <f t="shared" si="28"/>
        <v>-13.196469102490795</v>
      </c>
      <c r="AA109" s="122">
        <f t="shared" si="28"/>
        <v>-13.856292557615337</v>
      </c>
      <c r="AB109" s="122">
        <f t="shared" si="28"/>
        <v>-14.549107185496105</v>
      </c>
      <c r="AC109" s="122">
        <f t="shared" si="28"/>
        <v>-15.27656254477091</v>
      </c>
      <c r="AD109" s="122">
        <f t="shared" si="28"/>
        <v>-16.040390672009455</v>
      </c>
      <c r="AE109" s="122">
        <f t="shared" si="28"/>
        <v>-16.842410205609927</v>
      </c>
      <c r="AF109" s="254">
        <f t="shared" si="28"/>
        <v>-17.68453071589042</v>
      </c>
    </row>
    <row r="110" spans="1:32" ht="16.5">
      <c r="A110" s="42"/>
      <c r="B110" s="42"/>
      <c r="C110" s="39" t="s">
        <v>52</v>
      </c>
      <c r="D110" s="156">
        <f t="shared" si="25"/>
        <v>-108.16000000000001</v>
      </c>
      <c r="E110" s="157">
        <f t="shared" si="26"/>
        <v>0</v>
      </c>
      <c r="F110" s="158">
        <f t="shared" si="27"/>
        <v>-108.16000000000001</v>
      </c>
      <c r="G110" s="123"/>
      <c r="H110" s="124"/>
      <c r="I110" s="124"/>
      <c r="J110" s="125"/>
      <c r="K110" s="126">
        <f aca="true" t="shared" si="29" ref="K110:Y110">-$D$24/$D$21</f>
        <v>-7.210666666666667</v>
      </c>
      <c r="L110" s="127">
        <f t="shared" si="29"/>
        <v>-7.210666666666667</v>
      </c>
      <c r="M110" s="127">
        <f t="shared" si="29"/>
        <v>-7.210666666666667</v>
      </c>
      <c r="N110" s="127">
        <f t="shared" si="29"/>
        <v>-7.210666666666667</v>
      </c>
      <c r="O110" s="127">
        <f t="shared" si="29"/>
        <v>-7.210666666666667</v>
      </c>
      <c r="P110" s="127">
        <f t="shared" si="29"/>
        <v>-7.210666666666667</v>
      </c>
      <c r="Q110" s="127">
        <f t="shared" si="29"/>
        <v>-7.210666666666667</v>
      </c>
      <c r="R110" s="127">
        <f t="shared" si="29"/>
        <v>-7.210666666666667</v>
      </c>
      <c r="S110" s="127">
        <f t="shared" si="29"/>
        <v>-7.210666666666667</v>
      </c>
      <c r="T110" s="127">
        <f t="shared" si="29"/>
        <v>-7.210666666666667</v>
      </c>
      <c r="U110" s="127">
        <f t="shared" si="29"/>
        <v>-7.210666666666667</v>
      </c>
      <c r="V110" s="255">
        <f t="shared" si="29"/>
        <v>-7.210666666666667</v>
      </c>
      <c r="W110" s="255">
        <f t="shared" si="29"/>
        <v>-7.210666666666667</v>
      </c>
      <c r="X110" s="255">
        <f t="shared" si="29"/>
        <v>-7.210666666666667</v>
      </c>
      <c r="Y110" s="255">
        <f t="shared" si="29"/>
        <v>-7.210666666666667</v>
      </c>
      <c r="Z110" s="124"/>
      <c r="AA110" s="124"/>
      <c r="AB110" s="124"/>
      <c r="AC110" s="124"/>
      <c r="AD110" s="124"/>
      <c r="AE110" s="124"/>
      <c r="AF110" s="125"/>
    </row>
    <row r="111" spans="1:32" ht="16.5">
      <c r="A111" s="224"/>
      <c r="B111" s="42"/>
      <c r="C111" s="39" t="s">
        <v>53</v>
      </c>
      <c r="D111" s="156">
        <f t="shared" si="25"/>
        <v>-69.2224</v>
      </c>
      <c r="E111" s="157">
        <f t="shared" si="26"/>
        <v>0</v>
      </c>
      <c r="F111" s="158">
        <f t="shared" si="27"/>
        <v>-69.2224</v>
      </c>
      <c r="G111" s="123"/>
      <c r="H111" s="124"/>
      <c r="I111" s="124"/>
      <c r="J111" s="125"/>
      <c r="K111" s="126">
        <f>-$D$24*$D$20</f>
        <v>-8.6528</v>
      </c>
      <c r="L111" s="127">
        <f>(-$D$24-SUM($K110:K110))*$D$20</f>
        <v>-8.075946666666667</v>
      </c>
      <c r="M111" s="127">
        <f>(-$D$24-SUM($K110:L110))*$D$20</f>
        <v>-7.499093333333333</v>
      </c>
      <c r="N111" s="127">
        <f>(-$D$24-SUM($K110:M110))*$D$20</f>
        <v>-6.9222399999999995</v>
      </c>
      <c r="O111" s="127">
        <f>(-$D$24-SUM($K110:N110))*$D$20</f>
        <v>-6.345386666666666</v>
      </c>
      <c r="P111" s="127">
        <f>(-$D$24-SUM($K110:O110))*$D$20</f>
        <v>-5.768533333333332</v>
      </c>
      <c r="Q111" s="127">
        <f>(-$D$24-SUM($K110:P110))*$D$20</f>
        <v>-5.191679999999999</v>
      </c>
      <c r="R111" s="127">
        <f>(-$D$24-SUM($K110:Q110))*$D$20</f>
        <v>-4.614826666666666</v>
      </c>
      <c r="S111" s="127">
        <f>(-$D$24-SUM($K110:R110))*$D$20</f>
        <v>-4.0379733333333325</v>
      </c>
      <c r="T111" s="127">
        <f>(-$D$24-SUM($K110:S110))*$D$20</f>
        <v>-3.4611199999999998</v>
      </c>
      <c r="U111" s="127">
        <f>(-$D$24-SUM($K110:T110))*$D$20</f>
        <v>-2.884266666666666</v>
      </c>
      <c r="V111" s="255">
        <f>(-$D$24-SUM($K110:U110))*$D$20</f>
        <v>-2.307413333333333</v>
      </c>
      <c r="W111" s="255">
        <f>(-$D$24-SUM($K110:V110))*$D$20</f>
        <v>-1.7305599999999992</v>
      </c>
      <c r="X111" s="255">
        <f>(-$D$24-SUM($K110:W110))*$D$20</f>
        <v>-1.1537066666666658</v>
      </c>
      <c r="Y111" s="255">
        <f>(-$D$24-SUM($K110:X110))*$D$20</f>
        <v>-0.5768533333333323</v>
      </c>
      <c r="Z111" s="124"/>
      <c r="AA111" s="124"/>
      <c r="AB111" s="124"/>
      <c r="AC111" s="124"/>
      <c r="AD111" s="124"/>
      <c r="AE111" s="124"/>
      <c r="AF111" s="125"/>
    </row>
    <row r="112" spans="1:32" ht="16.5">
      <c r="A112" s="224"/>
      <c r="B112" s="49"/>
      <c r="C112" s="39" t="s">
        <v>5</v>
      </c>
      <c r="D112" s="156">
        <f t="shared" si="25"/>
        <v>-22.052986428194284</v>
      </c>
      <c r="E112" s="157">
        <f t="shared" si="26"/>
        <v>0</v>
      </c>
      <c r="F112" s="158">
        <f t="shared" si="27"/>
        <v>-22.052986428194284</v>
      </c>
      <c r="G112" s="123"/>
      <c r="H112" s="124"/>
      <c r="I112" s="124"/>
      <c r="J112" s="125"/>
      <c r="K112" s="126">
        <f aca="true" t="shared" si="30" ref="K112:AF112">-K43*K82</f>
        <v>-0.5727272727272728</v>
      </c>
      <c r="L112" s="127">
        <f t="shared" si="30"/>
        <v>-0.6013636363636363</v>
      </c>
      <c r="M112" s="127">
        <f t="shared" si="30"/>
        <v>-0.6314318181818181</v>
      </c>
      <c r="N112" s="127">
        <f t="shared" si="30"/>
        <v>-0.663003409090909</v>
      </c>
      <c r="O112" s="127">
        <f t="shared" si="30"/>
        <v>-0.6961535795454545</v>
      </c>
      <c r="P112" s="127">
        <f t="shared" si="30"/>
        <v>-0.7309612585227272</v>
      </c>
      <c r="Q112" s="127">
        <f t="shared" si="30"/>
        <v>-0.7675093214488637</v>
      </c>
      <c r="R112" s="127">
        <f t="shared" si="30"/>
        <v>-0.8058847875213068</v>
      </c>
      <c r="S112" s="127">
        <f t="shared" si="30"/>
        <v>-0.8461790268973722</v>
      </c>
      <c r="T112" s="127">
        <f t="shared" si="30"/>
        <v>-0.8884879782422408</v>
      </c>
      <c r="U112" s="127">
        <f t="shared" si="30"/>
        <v>-0.9329123771543529</v>
      </c>
      <c r="V112" s="255">
        <f t="shared" si="30"/>
        <v>-0.9795579960120704</v>
      </c>
      <c r="W112" s="127">
        <f t="shared" si="30"/>
        <v>-1.028535895812674</v>
      </c>
      <c r="X112" s="127">
        <f t="shared" si="30"/>
        <v>-1.0799626906033075</v>
      </c>
      <c r="Y112" s="127">
        <f t="shared" si="30"/>
        <v>-1.1339608251334734</v>
      </c>
      <c r="Z112" s="127">
        <f t="shared" si="30"/>
        <v>-1.190658866390147</v>
      </c>
      <c r="AA112" s="127">
        <f t="shared" si="30"/>
        <v>-1.2501918097096543</v>
      </c>
      <c r="AB112" s="127">
        <f t="shared" si="30"/>
        <v>-1.3127014001951371</v>
      </c>
      <c r="AC112" s="127">
        <f t="shared" si="30"/>
        <v>-1.378336470204894</v>
      </c>
      <c r="AD112" s="127">
        <f t="shared" si="30"/>
        <v>-1.4472532937151386</v>
      </c>
      <c r="AE112" s="127">
        <f t="shared" si="30"/>
        <v>-1.5196159584008955</v>
      </c>
      <c r="AF112" s="255">
        <f t="shared" si="30"/>
        <v>-1.5955967563209401</v>
      </c>
    </row>
    <row r="113" spans="1:32" ht="16.5">
      <c r="A113" s="42"/>
      <c r="B113" s="42"/>
      <c r="C113" s="39" t="s">
        <v>58</v>
      </c>
      <c r="D113" s="156">
        <f t="shared" si="25"/>
        <v>-222.3676131509591</v>
      </c>
      <c r="E113" s="157">
        <f t="shared" si="26"/>
        <v>0</v>
      </c>
      <c r="F113" s="158">
        <f t="shared" si="27"/>
        <v>-222.3676131509591</v>
      </c>
      <c r="G113" s="123"/>
      <c r="H113" s="124"/>
      <c r="I113" s="124"/>
      <c r="J113" s="125"/>
      <c r="K113" s="126">
        <f aca="true" t="shared" si="31" ref="K113:AF113">-$D$35*(1+$D$39)*K82</f>
        <v>-5.775</v>
      </c>
      <c r="L113" s="127">
        <f t="shared" si="31"/>
        <v>-6.063750000000001</v>
      </c>
      <c r="M113" s="127">
        <f t="shared" si="31"/>
        <v>-6.366937500000001</v>
      </c>
      <c r="N113" s="127">
        <f t="shared" si="31"/>
        <v>-6.685284375</v>
      </c>
      <c r="O113" s="127">
        <f t="shared" si="31"/>
        <v>-7.019548593750001</v>
      </c>
      <c r="P113" s="127">
        <f t="shared" si="31"/>
        <v>-7.3705260234375</v>
      </c>
      <c r="Q113" s="127">
        <f t="shared" si="31"/>
        <v>-7.739052324609377</v>
      </c>
      <c r="R113" s="127">
        <f t="shared" si="31"/>
        <v>-8.126004940839843</v>
      </c>
      <c r="S113" s="127">
        <f t="shared" si="31"/>
        <v>-8.532305187881837</v>
      </c>
      <c r="T113" s="127">
        <f t="shared" si="31"/>
        <v>-8.95892044727593</v>
      </c>
      <c r="U113" s="127">
        <f t="shared" si="31"/>
        <v>-9.406866469639725</v>
      </c>
      <c r="V113" s="255">
        <f t="shared" si="31"/>
        <v>-9.877209793121711</v>
      </c>
      <c r="W113" s="127">
        <f t="shared" si="31"/>
        <v>-10.371070282777797</v>
      </c>
      <c r="X113" s="127">
        <f t="shared" si="31"/>
        <v>-10.889623796916686</v>
      </c>
      <c r="Y113" s="127">
        <f t="shared" si="31"/>
        <v>-11.434104986762524</v>
      </c>
      <c r="Z113" s="127">
        <f t="shared" si="31"/>
        <v>-12.005810236100649</v>
      </c>
      <c r="AA113" s="127">
        <f t="shared" si="31"/>
        <v>-12.606100747905682</v>
      </c>
      <c r="AB113" s="127">
        <f t="shared" si="31"/>
        <v>-13.236405785300967</v>
      </c>
      <c r="AC113" s="127">
        <f t="shared" si="31"/>
        <v>-13.898226074566015</v>
      </c>
      <c r="AD113" s="127">
        <f t="shared" si="31"/>
        <v>-14.593137378294315</v>
      </c>
      <c r="AE113" s="127">
        <f t="shared" si="31"/>
        <v>-15.32279424720903</v>
      </c>
      <c r="AF113" s="255">
        <f t="shared" si="31"/>
        <v>-16.08893395956948</v>
      </c>
    </row>
    <row r="114" spans="1:32" ht="16.5">
      <c r="A114" s="42"/>
      <c r="B114" s="42"/>
      <c r="C114" s="39" t="s">
        <v>59</v>
      </c>
      <c r="D114" s="156">
        <f t="shared" si="25"/>
        <v>0</v>
      </c>
      <c r="E114" s="157">
        <f t="shared" si="26"/>
        <v>0</v>
      </c>
      <c r="F114" s="158">
        <f t="shared" si="27"/>
        <v>0</v>
      </c>
      <c r="G114" s="123"/>
      <c r="H114" s="124"/>
      <c r="I114" s="124"/>
      <c r="J114" s="125"/>
      <c r="K114" s="126">
        <f aca="true" t="shared" si="32" ref="K114:AF114">-(1+$D$39)*K38*K82</f>
        <v>0</v>
      </c>
      <c r="L114" s="127">
        <f t="shared" si="32"/>
        <v>0</v>
      </c>
      <c r="M114" s="127">
        <f t="shared" si="32"/>
        <v>0</v>
      </c>
      <c r="N114" s="127">
        <f t="shared" si="32"/>
        <v>0</v>
      </c>
      <c r="O114" s="127">
        <f t="shared" si="32"/>
        <v>0</v>
      </c>
      <c r="P114" s="127">
        <f t="shared" si="32"/>
        <v>0</v>
      </c>
      <c r="Q114" s="127">
        <f t="shared" si="32"/>
        <v>0</v>
      </c>
      <c r="R114" s="127">
        <f t="shared" si="32"/>
        <v>0</v>
      </c>
      <c r="S114" s="127">
        <f t="shared" si="32"/>
        <v>0</v>
      </c>
      <c r="T114" s="127">
        <f t="shared" si="32"/>
        <v>0</v>
      </c>
      <c r="U114" s="127">
        <f t="shared" si="32"/>
        <v>0</v>
      </c>
      <c r="V114" s="255">
        <f t="shared" si="32"/>
        <v>0</v>
      </c>
      <c r="W114" s="127">
        <f t="shared" si="32"/>
        <v>0</v>
      </c>
      <c r="X114" s="127">
        <f t="shared" si="32"/>
        <v>0</v>
      </c>
      <c r="Y114" s="127">
        <f t="shared" si="32"/>
        <v>0</v>
      </c>
      <c r="Z114" s="127">
        <f t="shared" si="32"/>
        <v>0</v>
      </c>
      <c r="AA114" s="127">
        <f t="shared" si="32"/>
        <v>0</v>
      </c>
      <c r="AB114" s="127">
        <f t="shared" si="32"/>
        <v>0</v>
      </c>
      <c r="AC114" s="127">
        <f t="shared" si="32"/>
        <v>0</v>
      </c>
      <c r="AD114" s="127">
        <f t="shared" si="32"/>
        <v>0</v>
      </c>
      <c r="AE114" s="127">
        <f t="shared" si="32"/>
        <v>0</v>
      </c>
      <c r="AF114" s="255">
        <f t="shared" si="32"/>
        <v>0</v>
      </c>
    </row>
    <row r="115" spans="1:32" ht="17.25" thickBot="1">
      <c r="A115" s="52"/>
      <c r="B115" s="52"/>
      <c r="C115" s="53"/>
      <c r="D115" s="128"/>
      <c r="E115" s="129"/>
      <c r="F115" s="130"/>
      <c r="G115" s="128"/>
      <c r="H115" s="129"/>
      <c r="I115" s="129"/>
      <c r="J115" s="130"/>
      <c r="K115" s="128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30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30"/>
    </row>
    <row r="116" spans="1:32" ht="16.5">
      <c r="A116" s="42"/>
      <c r="B116" s="42"/>
      <c r="C116" s="134"/>
      <c r="D116" s="165"/>
      <c r="E116" s="166"/>
      <c r="F116" s="167"/>
      <c r="G116" s="135"/>
      <c r="H116" s="136"/>
      <c r="I116" s="136"/>
      <c r="J116" s="137"/>
      <c r="K116" s="135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7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7"/>
    </row>
    <row r="117" spans="1:35" ht="16.5">
      <c r="A117" s="42"/>
      <c r="B117" s="42"/>
      <c r="C117" s="57" t="s">
        <v>11</v>
      </c>
      <c r="D117" s="168"/>
      <c r="E117" s="169"/>
      <c r="F117" s="170"/>
      <c r="G117" s="97" t="s">
        <v>109</v>
      </c>
      <c r="H117" s="98"/>
      <c r="I117" s="98"/>
      <c r="J117" s="99"/>
      <c r="K117" s="103">
        <f aca="true" t="shared" si="33" ref="K117:AF117">K101+K109</f>
        <v>1.8181818181818201</v>
      </c>
      <c r="L117" s="104">
        <f t="shared" si="33"/>
        <v>1.8181818181818201</v>
      </c>
      <c r="M117" s="104">
        <f t="shared" si="33"/>
        <v>1.818181818181813</v>
      </c>
      <c r="N117" s="104">
        <f t="shared" si="33"/>
        <v>1.818181818181813</v>
      </c>
      <c r="O117" s="104">
        <f t="shared" si="33"/>
        <v>1.8181818181818201</v>
      </c>
      <c r="P117" s="104">
        <f t="shared" si="33"/>
        <v>1.8181818181818166</v>
      </c>
      <c r="Q117" s="104">
        <f t="shared" si="33"/>
        <v>1.8181818181818166</v>
      </c>
      <c r="R117" s="104">
        <f t="shared" si="33"/>
        <v>1.8181818181818201</v>
      </c>
      <c r="S117" s="104">
        <f t="shared" si="33"/>
        <v>1.8181818181818201</v>
      </c>
      <c r="T117" s="104">
        <f t="shared" si="33"/>
        <v>1.8181818181818166</v>
      </c>
      <c r="U117" s="104">
        <f t="shared" si="33"/>
        <v>1.818181818181813</v>
      </c>
      <c r="V117" s="105">
        <f t="shared" si="33"/>
        <v>1.8181818181818201</v>
      </c>
      <c r="W117" s="104">
        <f t="shared" si="33"/>
        <v>2.3950351515151524</v>
      </c>
      <c r="X117" s="104">
        <f t="shared" si="33"/>
        <v>2.971888484848485</v>
      </c>
      <c r="Y117" s="104">
        <f t="shared" si="33"/>
        <v>3.5487418181818207</v>
      </c>
      <c r="Z117" s="104">
        <f t="shared" si="33"/>
        <v>11.336261818181818</v>
      </c>
      <c r="AA117" s="104">
        <f t="shared" si="33"/>
        <v>11.336261818181818</v>
      </c>
      <c r="AB117" s="104">
        <f t="shared" si="33"/>
        <v>11.336261818181818</v>
      </c>
      <c r="AC117" s="104">
        <f t="shared" si="33"/>
        <v>11.33626181818182</v>
      </c>
      <c r="AD117" s="104">
        <f t="shared" si="33"/>
        <v>11.336261818181818</v>
      </c>
      <c r="AE117" s="104">
        <f t="shared" si="33"/>
        <v>11.336261818181814</v>
      </c>
      <c r="AF117" s="104">
        <f t="shared" si="33"/>
        <v>11.336261818181818</v>
      </c>
      <c r="AG117" s="51"/>
      <c r="AH117" s="51"/>
      <c r="AI117" s="51"/>
    </row>
    <row r="118" spans="1:35" ht="16.5">
      <c r="A118" s="42"/>
      <c r="B118" s="42"/>
      <c r="C118" s="57"/>
      <c r="D118" s="168"/>
      <c r="E118" s="169"/>
      <c r="F118" s="170"/>
      <c r="G118" s="97"/>
      <c r="H118" s="98"/>
      <c r="I118" s="98"/>
      <c r="J118" s="99"/>
      <c r="K118" s="97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9"/>
      <c r="W118" s="98"/>
      <c r="X118" s="98"/>
      <c r="Y118" s="98"/>
      <c r="Z118" s="98"/>
      <c r="AA118" s="98"/>
      <c r="AB118" s="98"/>
      <c r="AC118" s="98"/>
      <c r="AD118" s="98"/>
      <c r="AE118" s="98"/>
      <c r="AF118" s="99"/>
      <c r="AG118" s="51"/>
      <c r="AH118" s="51"/>
      <c r="AI118" s="51"/>
    </row>
    <row r="119" spans="1:35" ht="16.5">
      <c r="A119" s="224"/>
      <c r="B119" s="42"/>
      <c r="C119" s="57" t="s">
        <v>12</v>
      </c>
      <c r="D119" s="168"/>
      <c r="E119" s="169"/>
      <c r="F119" s="170"/>
      <c r="G119" s="97"/>
      <c r="H119" s="98"/>
      <c r="I119" s="98"/>
      <c r="J119" s="99"/>
      <c r="K119" s="103">
        <f aca="true" t="shared" si="34" ref="K119:AF119">-K117*$D$45</f>
        <v>-0.18181818181818202</v>
      </c>
      <c r="L119" s="104">
        <f t="shared" si="34"/>
        <v>-0.18181818181818202</v>
      </c>
      <c r="M119" s="104">
        <f t="shared" si="34"/>
        <v>-0.18181818181818132</v>
      </c>
      <c r="N119" s="104">
        <f t="shared" si="34"/>
        <v>-0.18181818181818132</v>
      </c>
      <c r="O119" s="104">
        <f t="shared" si="34"/>
        <v>-0.18181818181818202</v>
      </c>
      <c r="P119" s="104">
        <f t="shared" si="34"/>
        <v>-0.18181818181818166</v>
      </c>
      <c r="Q119" s="104">
        <f t="shared" si="34"/>
        <v>-0.18181818181818166</v>
      </c>
      <c r="R119" s="104">
        <f t="shared" si="34"/>
        <v>-0.18181818181818202</v>
      </c>
      <c r="S119" s="104">
        <f t="shared" si="34"/>
        <v>-0.18181818181818202</v>
      </c>
      <c r="T119" s="104">
        <f t="shared" si="34"/>
        <v>-0.18181818181818166</v>
      </c>
      <c r="U119" s="104">
        <f t="shared" si="34"/>
        <v>-0.18181818181818132</v>
      </c>
      <c r="V119" s="105">
        <f t="shared" si="34"/>
        <v>-0.18181818181818202</v>
      </c>
      <c r="W119" s="104">
        <f t="shared" si="34"/>
        <v>-0.23950351515151524</v>
      </c>
      <c r="X119" s="104">
        <f t="shared" si="34"/>
        <v>-0.2971888484848485</v>
      </c>
      <c r="Y119" s="104">
        <f t="shared" si="34"/>
        <v>-0.3548741818181821</v>
      </c>
      <c r="Z119" s="104">
        <f t="shared" si="34"/>
        <v>-1.1336261818181819</v>
      </c>
      <c r="AA119" s="104">
        <f t="shared" si="34"/>
        <v>-1.1336261818181819</v>
      </c>
      <c r="AB119" s="104">
        <f t="shared" si="34"/>
        <v>-1.1336261818181819</v>
      </c>
      <c r="AC119" s="104">
        <f t="shared" si="34"/>
        <v>-1.133626181818182</v>
      </c>
      <c r="AD119" s="104">
        <f t="shared" si="34"/>
        <v>-1.1336261818181819</v>
      </c>
      <c r="AE119" s="104">
        <f t="shared" si="34"/>
        <v>-1.1336261818181814</v>
      </c>
      <c r="AF119" s="105">
        <f t="shared" si="34"/>
        <v>-1.1336261818181819</v>
      </c>
      <c r="AG119" s="51"/>
      <c r="AH119" s="51"/>
      <c r="AI119" s="51"/>
    </row>
    <row r="120" spans="1:35" ht="16.5">
      <c r="A120" s="42"/>
      <c r="B120" s="42"/>
      <c r="C120" s="57"/>
      <c r="D120" s="168"/>
      <c r="E120" s="169"/>
      <c r="F120" s="170"/>
      <c r="G120" s="97"/>
      <c r="H120" s="98"/>
      <c r="I120" s="98"/>
      <c r="J120" s="99"/>
      <c r="K120" s="97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9"/>
      <c r="W120" s="98"/>
      <c r="X120" s="98"/>
      <c r="Y120" s="98"/>
      <c r="Z120" s="98"/>
      <c r="AA120" s="98"/>
      <c r="AB120" s="98"/>
      <c r="AC120" s="98"/>
      <c r="AD120" s="98"/>
      <c r="AE120" s="98"/>
      <c r="AF120" s="99"/>
      <c r="AG120" s="51"/>
      <c r="AH120" s="51"/>
      <c r="AI120" s="51"/>
    </row>
    <row r="121" spans="1:35" ht="16.5">
      <c r="A121" s="42"/>
      <c r="B121" s="42"/>
      <c r="C121" s="62" t="s">
        <v>65</v>
      </c>
      <c r="D121" s="156"/>
      <c r="E121" s="157"/>
      <c r="F121" s="158"/>
      <c r="G121" s="103">
        <f>G94+G86</f>
        <v>-24</v>
      </c>
      <c r="H121" s="104">
        <f>H94+H86</f>
        <v>-48</v>
      </c>
      <c r="I121" s="104">
        <f>I94+I86</f>
        <v>18.08</v>
      </c>
      <c r="J121" s="105">
        <f>J94+J86</f>
        <v>53.92</v>
      </c>
      <c r="K121" s="103">
        <f aca="true" t="shared" si="35" ref="K121:AF121">K117+K119</f>
        <v>1.636363636363638</v>
      </c>
      <c r="L121" s="104">
        <f t="shared" si="35"/>
        <v>1.636363636363638</v>
      </c>
      <c r="M121" s="104">
        <f t="shared" si="35"/>
        <v>1.6363636363636318</v>
      </c>
      <c r="N121" s="104">
        <f t="shared" si="35"/>
        <v>1.6363636363636318</v>
      </c>
      <c r="O121" s="104">
        <f t="shared" si="35"/>
        <v>1.636363636363638</v>
      </c>
      <c r="P121" s="104">
        <f t="shared" si="35"/>
        <v>1.636363636363635</v>
      </c>
      <c r="Q121" s="104">
        <f t="shared" si="35"/>
        <v>1.636363636363635</v>
      </c>
      <c r="R121" s="104">
        <f t="shared" si="35"/>
        <v>1.636363636363638</v>
      </c>
      <c r="S121" s="104">
        <f t="shared" si="35"/>
        <v>1.636363636363638</v>
      </c>
      <c r="T121" s="104">
        <f t="shared" si="35"/>
        <v>1.636363636363635</v>
      </c>
      <c r="U121" s="104">
        <f t="shared" si="35"/>
        <v>1.6363636363636318</v>
      </c>
      <c r="V121" s="105">
        <f t="shared" si="35"/>
        <v>1.636363636363638</v>
      </c>
      <c r="W121" s="104">
        <f t="shared" si="35"/>
        <v>2.155531636363637</v>
      </c>
      <c r="X121" s="104">
        <f t="shared" si="35"/>
        <v>2.6746996363636364</v>
      </c>
      <c r="Y121" s="104">
        <f t="shared" si="35"/>
        <v>3.1938676363636387</v>
      </c>
      <c r="Z121" s="104">
        <f t="shared" si="35"/>
        <v>10.202635636363636</v>
      </c>
      <c r="AA121" s="104">
        <f t="shared" si="35"/>
        <v>10.202635636363636</v>
      </c>
      <c r="AB121" s="104">
        <f t="shared" si="35"/>
        <v>10.202635636363636</v>
      </c>
      <c r="AC121" s="104">
        <f t="shared" si="35"/>
        <v>10.202635636363638</v>
      </c>
      <c r="AD121" s="104">
        <f t="shared" si="35"/>
        <v>10.202635636363636</v>
      </c>
      <c r="AE121" s="104">
        <f t="shared" si="35"/>
        <v>10.202635636363633</v>
      </c>
      <c r="AF121" s="105">
        <f t="shared" si="35"/>
        <v>10.202635636363636</v>
      </c>
      <c r="AG121" s="51"/>
      <c r="AH121" s="51"/>
      <c r="AI121" s="51"/>
    </row>
    <row r="122" spans="1:35" ht="16.5">
      <c r="A122" s="42"/>
      <c r="B122" s="42"/>
      <c r="C122" s="57" t="s">
        <v>60</v>
      </c>
      <c r="D122" s="168"/>
      <c r="E122" s="169"/>
      <c r="F122" s="170"/>
      <c r="G122" s="103">
        <f>G121</f>
        <v>-24</v>
      </c>
      <c r="H122" s="104">
        <f aca="true" t="shared" si="36" ref="H122:AF122">G122+H121</f>
        <v>-72</v>
      </c>
      <c r="I122" s="104">
        <f t="shared" si="36"/>
        <v>-53.92</v>
      </c>
      <c r="J122" s="105">
        <f t="shared" si="36"/>
        <v>0</v>
      </c>
      <c r="K122" s="103">
        <f t="shared" si="36"/>
        <v>1.636363636363638</v>
      </c>
      <c r="L122" s="104">
        <f t="shared" si="36"/>
        <v>3.272727272727276</v>
      </c>
      <c r="M122" s="104">
        <f t="shared" si="36"/>
        <v>4.909090909090908</v>
      </c>
      <c r="N122" s="104">
        <f t="shared" si="36"/>
        <v>6.54545454545454</v>
      </c>
      <c r="O122" s="104">
        <f t="shared" si="36"/>
        <v>8.181818181818178</v>
      </c>
      <c r="P122" s="104">
        <f t="shared" si="36"/>
        <v>9.818181818181813</v>
      </c>
      <c r="Q122" s="104">
        <f t="shared" si="36"/>
        <v>11.454545454545448</v>
      </c>
      <c r="R122" s="104">
        <f t="shared" si="36"/>
        <v>13.090909090909086</v>
      </c>
      <c r="S122" s="104">
        <f t="shared" si="36"/>
        <v>14.727272727272725</v>
      </c>
      <c r="T122" s="104">
        <f t="shared" si="36"/>
        <v>16.36363636363636</v>
      </c>
      <c r="U122" s="104">
        <f t="shared" si="36"/>
        <v>17.999999999999993</v>
      </c>
      <c r="V122" s="105">
        <f t="shared" si="36"/>
        <v>19.63636363636363</v>
      </c>
      <c r="W122" s="104">
        <f t="shared" si="36"/>
        <v>21.791895272727267</v>
      </c>
      <c r="X122" s="104">
        <f t="shared" si="36"/>
        <v>24.466594909090905</v>
      </c>
      <c r="Y122" s="104">
        <f t="shared" si="36"/>
        <v>27.660462545454543</v>
      </c>
      <c r="Z122" s="104">
        <f t="shared" si="36"/>
        <v>37.86309818181818</v>
      </c>
      <c r="AA122" s="104">
        <f t="shared" si="36"/>
        <v>48.06573381818182</v>
      </c>
      <c r="AB122" s="104">
        <f t="shared" si="36"/>
        <v>58.26836945454546</v>
      </c>
      <c r="AC122" s="104">
        <f t="shared" si="36"/>
        <v>68.4710050909091</v>
      </c>
      <c r="AD122" s="104">
        <f t="shared" si="36"/>
        <v>78.67364072727274</v>
      </c>
      <c r="AE122" s="104">
        <f t="shared" si="36"/>
        <v>88.87627636363638</v>
      </c>
      <c r="AF122" s="105">
        <f t="shared" si="36"/>
        <v>99.07891200000002</v>
      </c>
      <c r="AG122" s="51"/>
      <c r="AH122" s="51"/>
      <c r="AI122" s="51"/>
    </row>
    <row r="123" spans="1:35" ht="16.5">
      <c r="A123" s="42"/>
      <c r="B123" s="42"/>
      <c r="C123" s="57"/>
      <c r="D123" s="168"/>
      <c r="E123" s="169"/>
      <c r="F123" s="170"/>
      <c r="G123" s="97"/>
      <c r="H123" s="98"/>
      <c r="I123" s="98"/>
      <c r="J123" s="99"/>
      <c r="K123" s="97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9"/>
      <c r="W123" s="98"/>
      <c r="X123" s="98"/>
      <c r="Y123" s="98"/>
      <c r="Z123" s="98"/>
      <c r="AA123" s="98"/>
      <c r="AB123" s="98"/>
      <c r="AC123" s="98"/>
      <c r="AD123" s="98"/>
      <c r="AE123" s="98"/>
      <c r="AF123" s="99"/>
      <c r="AG123" s="51"/>
      <c r="AH123" s="51"/>
      <c r="AI123" s="51"/>
    </row>
    <row r="124" spans="1:35" ht="16.5">
      <c r="A124" s="42"/>
      <c r="B124" s="42"/>
      <c r="C124" s="57" t="s">
        <v>15</v>
      </c>
      <c r="D124" s="168"/>
      <c r="E124" s="169"/>
      <c r="F124" s="170"/>
      <c r="G124" s="97"/>
      <c r="H124" s="98"/>
      <c r="I124" s="98"/>
      <c r="J124" s="99"/>
      <c r="K124" s="375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25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250"/>
      <c r="AG124" s="51"/>
      <c r="AH124" s="51"/>
      <c r="AI124" s="51"/>
    </row>
    <row r="125" spans="1:35" ht="16.5">
      <c r="A125" s="42"/>
      <c r="B125" s="42"/>
      <c r="C125" s="63" t="s">
        <v>98</v>
      </c>
      <c r="D125" s="156">
        <f>SUM(G125:AF125)</f>
        <v>287.47007999999994</v>
      </c>
      <c r="E125" s="157">
        <f>SUM(G125:J125)</f>
        <v>0</v>
      </c>
      <c r="F125" s="158">
        <f>SUM(K125:AF125)</f>
        <v>287.47007999999994</v>
      </c>
      <c r="G125" s="97"/>
      <c r="H125" s="98"/>
      <c r="I125" s="98"/>
      <c r="J125" s="99"/>
      <c r="K125" s="103">
        <f aca="true" t="shared" si="37" ref="K125:AF125">K101+K113+K114+K112</f>
        <v>17.681648484848484</v>
      </c>
      <c r="L125" s="104">
        <f t="shared" si="37"/>
        <v>17.104795151515155</v>
      </c>
      <c r="M125" s="104">
        <f t="shared" si="37"/>
        <v>16.527941818181816</v>
      </c>
      <c r="N125" s="104">
        <f t="shared" si="37"/>
        <v>15.95108848484848</v>
      </c>
      <c r="O125" s="104">
        <f t="shared" si="37"/>
        <v>15.37423515151515</v>
      </c>
      <c r="P125" s="104">
        <f t="shared" si="37"/>
        <v>14.797381818181817</v>
      </c>
      <c r="Q125" s="104">
        <f t="shared" si="37"/>
        <v>14.220528484848483</v>
      </c>
      <c r="R125" s="104">
        <f t="shared" si="37"/>
        <v>13.643675151515152</v>
      </c>
      <c r="S125" s="104">
        <f t="shared" si="37"/>
        <v>13.066821818181818</v>
      </c>
      <c r="T125" s="104">
        <f t="shared" si="37"/>
        <v>12.489968484848484</v>
      </c>
      <c r="U125" s="104">
        <f t="shared" si="37"/>
        <v>11.913115151515148</v>
      </c>
      <c r="V125" s="105">
        <f t="shared" si="37"/>
        <v>11.33626181818182</v>
      </c>
      <c r="W125" s="104">
        <f t="shared" si="37"/>
        <v>11.336261818181818</v>
      </c>
      <c r="X125" s="104">
        <f t="shared" si="37"/>
        <v>11.336261818181818</v>
      </c>
      <c r="Y125" s="104">
        <f t="shared" si="37"/>
        <v>11.33626181818182</v>
      </c>
      <c r="Z125" s="104">
        <f t="shared" si="37"/>
        <v>11.336261818181818</v>
      </c>
      <c r="AA125" s="104">
        <f t="shared" si="37"/>
        <v>11.336261818181818</v>
      </c>
      <c r="AB125" s="104">
        <f t="shared" si="37"/>
        <v>11.336261818181818</v>
      </c>
      <c r="AC125" s="104">
        <f t="shared" si="37"/>
        <v>11.33626181818182</v>
      </c>
      <c r="AD125" s="104">
        <f t="shared" si="37"/>
        <v>11.336261818181818</v>
      </c>
      <c r="AE125" s="104">
        <f t="shared" si="37"/>
        <v>11.336261818181814</v>
      </c>
      <c r="AF125" s="104">
        <f t="shared" si="37"/>
        <v>11.336261818181818</v>
      </c>
      <c r="AG125" s="51"/>
      <c r="AH125" s="51"/>
      <c r="AI125" s="51"/>
    </row>
    <row r="126" spans="1:35" ht="16.5">
      <c r="A126" s="42"/>
      <c r="B126" s="42"/>
      <c r="C126" s="63" t="s">
        <v>61</v>
      </c>
      <c r="D126" s="156">
        <f>SUM(G126:AF126)</f>
        <v>110.08768</v>
      </c>
      <c r="E126" s="157">
        <f>SUM(G126:J126)</f>
        <v>0</v>
      </c>
      <c r="F126" s="158">
        <f>SUM(K126:AF126)</f>
        <v>110.08768</v>
      </c>
      <c r="G126" s="97"/>
      <c r="H126" s="98"/>
      <c r="I126" s="98"/>
      <c r="J126" s="99"/>
      <c r="K126" s="103">
        <f aca="true" t="shared" si="38" ref="K126:AF126">K125+K110+K111</f>
        <v>1.8181818181818183</v>
      </c>
      <c r="L126" s="104">
        <f t="shared" si="38"/>
        <v>1.818181818181822</v>
      </c>
      <c r="M126" s="104">
        <f t="shared" si="38"/>
        <v>1.8181818181818166</v>
      </c>
      <c r="N126" s="104">
        <f t="shared" si="38"/>
        <v>1.818181818181814</v>
      </c>
      <c r="O126" s="104">
        <f t="shared" si="38"/>
        <v>1.8181818181818166</v>
      </c>
      <c r="P126" s="104">
        <f t="shared" si="38"/>
        <v>1.8181818181818183</v>
      </c>
      <c r="Q126" s="104">
        <f t="shared" si="38"/>
        <v>1.8181818181818175</v>
      </c>
      <c r="R126" s="104">
        <f t="shared" si="38"/>
        <v>1.8181818181818201</v>
      </c>
      <c r="S126" s="104">
        <f t="shared" si="38"/>
        <v>1.8181818181818192</v>
      </c>
      <c r="T126" s="104">
        <f t="shared" si="38"/>
        <v>1.818181818181818</v>
      </c>
      <c r="U126" s="104">
        <f t="shared" si="38"/>
        <v>1.8181818181818157</v>
      </c>
      <c r="V126" s="105">
        <f t="shared" si="38"/>
        <v>1.8181818181818201</v>
      </c>
      <c r="W126" s="104">
        <f t="shared" si="38"/>
        <v>2.395035151515152</v>
      </c>
      <c r="X126" s="104">
        <f t="shared" si="38"/>
        <v>2.9718884848484857</v>
      </c>
      <c r="Y126" s="104">
        <f t="shared" si="38"/>
        <v>3.5487418181818207</v>
      </c>
      <c r="Z126" s="104">
        <f t="shared" si="38"/>
        <v>11.336261818181818</v>
      </c>
      <c r="AA126" s="104">
        <f t="shared" si="38"/>
        <v>11.336261818181818</v>
      </c>
      <c r="AB126" s="104">
        <f t="shared" si="38"/>
        <v>11.336261818181818</v>
      </c>
      <c r="AC126" s="104">
        <f t="shared" si="38"/>
        <v>11.33626181818182</v>
      </c>
      <c r="AD126" s="104">
        <f t="shared" si="38"/>
        <v>11.336261818181818</v>
      </c>
      <c r="AE126" s="104">
        <f t="shared" si="38"/>
        <v>11.336261818181814</v>
      </c>
      <c r="AF126" s="105">
        <f t="shared" si="38"/>
        <v>11.336261818181818</v>
      </c>
      <c r="AG126" s="51"/>
      <c r="AH126" s="51"/>
      <c r="AI126" s="51"/>
    </row>
    <row r="127" spans="1:35" ht="16.5">
      <c r="A127" s="42"/>
      <c r="B127" s="42"/>
      <c r="C127" s="63" t="s">
        <v>62</v>
      </c>
      <c r="D127" s="156">
        <f>SUM(G127:AF127)</f>
        <v>99.07891200000002</v>
      </c>
      <c r="E127" s="157">
        <f>SUM(G127:J127)</f>
        <v>0</v>
      </c>
      <c r="F127" s="158">
        <f>SUM(K127:AF127)</f>
        <v>99.07891200000002</v>
      </c>
      <c r="G127" s="97"/>
      <c r="H127" s="98"/>
      <c r="I127" s="98"/>
      <c r="J127" s="99"/>
      <c r="K127" s="103">
        <f aca="true" t="shared" si="39" ref="K127:AF127">K126+K119</f>
        <v>1.6363636363636362</v>
      </c>
      <c r="L127" s="104">
        <f t="shared" si="39"/>
        <v>1.6363636363636398</v>
      </c>
      <c r="M127" s="104">
        <f t="shared" si="39"/>
        <v>1.6363636363636354</v>
      </c>
      <c r="N127" s="104">
        <f t="shared" si="39"/>
        <v>1.6363636363636327</v>
      </c>
      <c r="O127" s="104">
        <f t="shared" si="39"/>
        <v>1.6363636363636345</v>
      </c>
      <c r="P127" s="104">
        <f t="shared" si="39"/>
        <v>1.6363636363636367</v>
      </c>
      <c r="Q127" s="104">
        <f t="shared" si="39"/>
        <v>1.6363636363636358</v>
      </c>
      <c r="R127" s="104">
        <f t="shared" si="39"/>
        <v>1.636363636363638</v>
      </c>
      <c r="S127" s="104">
        <f t="shared" si="39"/>
        <v>1.6363636363636371</v>
      </c>
      <c r="T127" s="104">
        <f t="shared" si="39"/>
        <v>1.6363636363636362</v>
      </c>
      <c r="U127" s="104">
        <f t="shared" si="39"/>
        <v>1.6363636363636345</v>
      </c>
      <c r="V127" s="105">
        <f t="shared" si="39"/>
        <v>1.636363636363638</v>
      </c>
      <c r="W127" s="104">
        <f t="shared" si="39"/>
        <v>2.1555316363636368</v>
      </c>
      <c r="X127" s="104">
        <f t="shared" si="39"/>
        <v>2.6746996363636373</v>
      </c>
      <c r="Y127" s="104">
        <f t="shared" si="39"/>
        <v>3.1938676363636387</v>
      </c>
      <c r="Z127" s="104">
        <f t="shared" si="39"/>
        <v>10.202635636363636</v>
      </c>
      <c r="AA127" s="104">
        <f t="shared" si="39"/>
        <v>10.202635636363636</v>
      </c>
      <c r="AB127" s="104">
        <f t="shared" si="39"/>
        <v>10.202635636363636</v>
      </c>
      <c r="AC127" s="104">
        <f t="shared" si="39"/>
        <v>10.202635636363638</v>
      </c>
      <c r="AD127" s="104">
        <f t="shared" si="39"/>
        <v>10.202635636363636</v>
      </c>
      <c r="AE127" s="104">
        <f t="shared" si="39"/>
        <v>10.202635636363633</v>
      </c>
      <c r="AF127" s="105">
        <f t="shared" si="39"/>
        <v>10.202635636363636</v>
      </c>
      <c r="AG127" s="51"/>
      <c r="AH127" s="51"/>
      <c r="AI127" s="51"/>
    </row>
    <row r="128" spans="1:35" ht="17.25" thickBot="1">
      <c r="A128" s="52"/>
      <c r="B128" s="52"/>
      <c r="C128" s="64"/>
      <c r="D128" s="171"/>
      <c r="E128" s="172"/>
      <c r="F128" s="173"/>
      <c r="G128" s="30"/>
      <c r="H128" s="31"/>
      <c r="I128" s="31"/>
      <c r="J128" s="32"/>
      <c r="K128" s="376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2"/>
      <c r="W128" s="24"/>
      <c r="X128" s="24"/>
      <c r="Y128" s="24"/>
      <c r="Z128" s="24"/>
      <c r="AA128" s="24"/>
      <c r="AB128" s="24"/>
      <c r="AC128" s="24"/>
      <c r="AD128" s="24"/>
      <c r="AE128" s="24"/>
      <c r="AF128" s="242"/>
      <c r="AG128" s="51"/>
      <c r="AH128" s="51"/>
      <c r="AI128" s="51"/>
    </row>
    <row r="129" spans="1:35" ht="16.5">
      <c r="A129" s="11"/>
      <c r="B129" s="65"/>
      <c r="C129" s="66"/>
      <c r="D129" s="174"/>
      <c r="E129" s="175"/>
      <c r="F129" s="176"/>
      <c r="G129" s="58"/>
      <c r="H129" s="59"/>
      <c r="I129" s="59"/>
      <c r="J129" s="60"/>
      <c r="K129" s="95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256"/>
      <c r="W129" s="67"/>
      <c r="X129" s="67"/>
      <c r="Y129" s="67"/>
      <c r="Z129" s="67"/>
      <c r="AA129" s="67"/>
      <c r="AB129" s="67"/>
      <c r="AC129" s="67"/>
      <c r="AD129" s="67"/>
      <c r="AE129" s="67"/>
      <c r="AF129" s="256"/>
      <c r="AG129" s="51"/>
      <c r="AH129" s="51"/>
      <c r="AI129" s="51"/>
    </row>
    <row r="130" spans="1:34" s="144" customFormat="1" ht="14.25">
      <c r="A130" s="138"/>
      <c r="B130" s="139"/>
      <c r="C130" s="140" t="s">
        <v>13</v>
      </c>
      <c r="D130" s="168">
        <f>SUM(G130:AF130)</f>
        <v>79.07891200000002</v>
      </c>
      <c r="E130" s="169">
        <f>SUM(G130:J130)</f>
        <v>-20</v>
      </c>
      <c r="F130" s="170">
        <f>SUM(K130:AF130)</f>
        <v>99.07891200000002</v>
      </c>
      <c r="G130" s="131">
        <f>-G96</f>
        <v>0</v>
      </c>
      <c r="H130" s="132">
        <f>-H96</f>
        <v>0</v>
      </c>
      <c r="I130" s="132">
        <f>-I96</f>
        <v>-10</v>
      </c>
      <c r="J130" s="133">
        <f>-J96</f>
        <v>-10</v>
      </c>
      <c r="K130" s="141">
        <f aca="true" t="shared" si="40" ref="K130:AF130">K127</f>
        <v>1.6363636363636362</v>
      </c>
      <c r="L130" s="142">
        <f t="shared" si="40"/>
        <v>1.6363636363636398</v>
      </c>
      <c r="M130" s="142">
        <f t="shared" si="40"/>
        <v>1.6363636363636354</v>
      </c>
      <c r="N130" s="142">
        <f t="shared" si="40"/>
        <v>1.6363636363636327</v>
      </c>
      <c r="O130" s="142">
        <f t="shared" si="40"/>
        <v>1.6363636363636345</v>
      </c>
      <c r="P130" s="142">
        <f t="shared" si="40"/>
        <v>1.6363636363636367</v>
      </c>
      <c r="Q130" s="142">
        <f t="shared" si="40"/>
        <v>1.6363636363636358</v>
      </c>
      <c r="R130" s="142">
        <f t="shared" si="40"/>
        <v>1.636363636363638</v>
      </c>
      <c r="S130" s="142">
        <f t="shared" si="40"/>
        <v>1.6363636363636371</v>
      </c>
      <c r="T130" s="142">
        <f t="shared" si="40"/>
        <v>1.6363636363636362</v>
      </c>
      <c r="U130" s="142">
        <f t="shared" si="40"/>
        <v>1.6363636363636345</v>
      </c>
      <c r="V130" s="257">
        <f t="shared" si="40"/>
        <v>1.636363636363638</v>
      </c>
      <c r="W130" s="142">
        <f t="shared" si="40"/>
        <v>2.1555316363636368</v>
      </c>
      <c r="X130" s="142">
        <f t="shared" si="40"/>
        <v>2.6746996363636373</v>
      </c>
      <c r="Y130" s="142">
        <f t="shared" si="40"/>
        <v>3.1938676363636387</v>
      </c>
      <c r="Z130" s="142">
        <f t="shared" si="40"/>
        <v>10.202635636363636</v>
      </c>
      <c r="AA130" s="142">
        <f t="shared" si="40"/>
        <v>10.202635636363636</v>
      </c>
      <c r="AB130" s="142">
        <f t="shared" si="40"/>
        <v>10.202635636363636</v>
      </c>
      <c r="AC130" s="142">
        <f t="shared" si="40"/>
        <v>10.202635636363638</v>
      </c>
      <c r="AD130" s="142">
        <f t="shared" si="40"/>
        <v>10.202635636363636</v>
      </c>
      <c r="AE130" s="142">
        <f t="shared" si="40"/>
        <v>10.202635636363633</v>
      </c>
      <c r="AF130" s="257">
        <f t="shared" si="40"/>
        <v>10.202635636363636</v>
      </c>
      <c r="AG130" s="143"/>
      <c r="AH130" s="143"/>
    </row>
    <row r="131" spans="1:34" s="75" customFormat="1" ht="14.25">
      <c r="A131" s="16"/>
      <c r="B131" s="68"/>
      <c r="C131" s="69"/>
      <c r="D131" s="177"/>
      <c r="E131" s="178"/>
      <c r="F131" s="179"/>
      <c r="G131" s="70"/>
      <c r="H131" s="71"/>
      <c r="I131" s="71"/>
      <c r="J131" s="72"/>
      <c r="K131" s="96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258"/>
      <c r="W131" s="73"/>
      <c r="X131" s="73"/>
      <c r="Y131" s="73"/>
      <c r="Z131" s="73"/>
      <c r="AA131" s="73"/>
      <c r="AB131" s="73"/>
      <c r="AC131" s="73"/>
      <c r="AD131" s="73"/>
      <c r="AE131" s="73"/>
      <c r="AF131" s="258"/>
      <c r="AG131" s="74"/>
      <c r="AH131" s="74"/>
    </row>
    <row r="132" spans="1:32" s="90" customFormat="1" ht="14.25">
      <c r="A132" s="84"/>
      <c r="B132" s="85"/>
      <c r="C132" s="86" t="s">
        <v>36</v>
      </c>
      <c r="D132" s="180">
        <f>AF132</f>
        <v>0.11585439758219884</v>
      </c>
      <c r="E132" s="181"/>
      <c r="F132" s="182"/>
      <c r="G132" s="88">
        <f>IF(SUM($G$130:G130)&gt;0,IRR($G$130:G130),0)</f>
        <v>0</v>
      </c>
      <c r="H132" s="88">
        <f>IF(SUM($G$130:H130)&gt;0,IRR($G$130:H130),0)</f>
        <v>0</v>
      </c>
      <c r="I132" s="88">
        <f>IF(SUM($G$130:I130)&gt;0,IRR($G$130:I130),0)</f>
        <v>0</v>
      </c>
      <c r="J132" s="88">
        <f>IF(SUM($G$130:J130)&gt;0,IRR($G$130:J130),0)</f>
        <v>0</v>
      </c>
      <c r="K132" s="88">
        <f>IF(SUM($G$130:K130)&gt;0,IRR($G$130:K130),0)</f>
        <v>0</v>
      </c>
      <c r="L132" s="88">
        <f>IF(SUM($G$130:L130)&gt;0,IRR($G$130:L130),0)</f>
        <v>0</v>
      </c>
      <c r="M132" s="88">
        <f>IF(SUM($G$130:M130)&gt;0,IRR($G$130:M130),0)</f>
        <v>0</v>
      </c>
      <c r="N132" s="88">
        <f>IF(SUM($G$130:N130)&gt;0,IRR($G$130:N130),0)</f>
        <v>0</v>
      </c>
      <c r="O132" s="88">
        <f>IF(SUM($G$130:O130)&gt;0,IRR($G$130:O130),0)</f>
        <v>0</v>
      </c>
      <c r="P132" s="88">
        <f>IF(SUM($G$130:P130)&gt;0,IRR($G$130:P130),0)</f>
        <v>0</v>
      </c>
      <c r="Q132" s="88">
        <f>IF(SUM($G$130:Q130)&gt;0,IRR($G$130:Q130),0)</f>
        <v>0</v>
      </c>
      <c r="R132" s="88">
        <f>IF(SUM($G$130:R130)&gt;0,IRR($G$130:R130),0)</f>
        <v>0</v>
      </c>
      <c r="S132" s="88">
        <f>IRR($G130:S130)</f>
        <v>-0.05251844710851905</v>
      </c>
      <c r="T132" s="88">
        <f>IRR($G130:T130)</f>
        <v>-0.03220166213309417</v>
      </c>
      <c r="U132" s="88">
        <f>IRR($G130:U130)</f>
        <v>-0.015889365064626126</v>
      </c>
      <c r="V132" s="89">
        <f>IRR($G130:V130)</f>
        <v>-0.0026121867050648007</v>
      </c>
      <c r="W132" s="88">
        <f>IRR($G130:W130)</f>
        <v>0.011411495307490638</v>
      </c>
      <c r="X132" s="88">
        <f>IRR($G130:X130)</f>
        <v>0.024949524375245336</v>
      </c>
      <c r="Y132" s="88">
        <f>IRR($G130:Y130)</f>
        <v>0.03737609788632179</v>
      </c>
      <c r="Z132" s="88">
        <f>IRR($G130:Z130)</f>
        <v>0.06350386648125372</v>
      </c>
      <c r="AA132" s="88">
        <f>IRR($G130:AA130)</f>
        <v>0.07988484482610247</v>
      </c>
      <c r="AB132" s="88">
        <f>IRR($G130:AB130)</f>
        <v>0.09138416815326167</v>
      </c>
      <c r="AC132" s="88">
        <f>IRR($G130:AC130)</f>
        <v>0.09993055272681972</v>
      </c>
      <c r="AD132" s="88">
        <f>IRR($G130:AD130)</f>
        <v>0.10650862027971786</v>
      </c>
      <c r="AE132" s="88">
        <f>IRR($G130:AE130)</f>
        <v>0.11169426571435581</v>
      </c>
      <c r="AF132" s="89">
        <f>IRR($G130:AF130)</f>
        <v>0.11585439758219884</v>
      </c>
    </row>
    <row r="133" spans="1:32" s="90" customFormat="1" ht="14.25">
      <c r="A133" s="84"/>
      <c r="B133" s="85"/>
      <c r="C133" s="86"/>
      <c r="D133" s="183"/>
      <c r="E133" s="181"/>
      <c r="F133" s="182"/>
      <c r="G133" s="87"/>
      <c r="H133" s="88"/>
      <c r="I133" s="88"/>
      <c r="J133" s="89"/>
      <c r="K133" s="87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9"/>
      <c r="W133" s="88"/>
      <c r="X133" s="88"/>
      <c r="Y133" s="88"/>
      <c r="Z133" s="88"/>
      <c r="AA133" s="88"/>
      <c r="AB133" s="88"/>
      <c r="AC133" s="88"/>
      <c r="AD133" s="88"/>
      <c r="AE133" s="88"/>
      <c r="AF133" s="89"/>
    </row>
    <row r="134" spans="1:35" s="415" customFormat="1" ht="14.25">
      <c r="A134" s="402"/>
      <c r="B134" s="403"/>
      <c r="C134" s="404" t="s">
        <v>14</v>
      </c>
      <c r="D134" s="405">
        <f>AVERAGE(K134:V134)</f>
        <v>-1.1469588070692949</v>
      </c>
      <c r="E134" s="406"/>
      <c r="F134" s="407"/>
      <c r="G134" s="408"/>
      <c r="H134" s="409"/>
      <c r="I134" s="409"/>
      <c r="J134" s="410"/>
      <c r="K134" s="411">
        <f aca="true" t="shared" si="41" ref="K134:Y134">K125/(K110+K111)</f>
        <v>-1.1146144065724486</v>
      </c>
      <c r="L134" s="412">
        <f t="shared" si="41"/>
        <v>-1.118939478518579</v>
      </c>
      <c r="M134" s="412">
        <f t="shared" si="41"/>
        <v>-1.123603771793817</v>
      </c>
      <c r="N134" s="412">
        <f t="shared" si="41"/>
        <v>-1.1286488237037684</v>
      </c>
      <c r="O134" s="412">
        <f t="shared" si="41"/>
        <v>-1.1341232417337161</v>
      </c>
      <c r="P134" s="412">
        <f t="shared" si="41"/>
        <v>-1.1400842746996593</v>
      </c>
      <c r="Q134" s="412">
        <f t="shared" si="41"/>
        <v>-1.1465998223601084</v>
      </c>
      <c r="R134" s="412">
        <f t="shared" si="41"/>
        <v>-1.1537510332069434</v>
      </c>
      <c r="S134" s="412">
        <f t="shared" si="41"/>
        <v>-1.1616357015765302</v>
      </c>
      <c r="T134" s="412">
        <f t="shared" si="41"/>
        <v>-1.1703727665266128</v>
      </c>
      <c r="U134" s="412">
        <f t="shared" si="41"/>
        <v>-1.1801083531852758</v>
      </c>
      <c r="V134" s="413">
        <f t="shared" si="41"/>
        <v>-1.191024010954081</v>
      </c>
      <c r="W134" s="413">
        <f t="shared" si="41"/>
        <v>-1.267864269725312</v>
      </c>
      <c r="X134" s="413">
        <f t="shared" si="41"/>
        <v>-1.3553031848787818</v>
      </c>
      <c r="Y134" s="413">
        <f t="shared" si="41"/>
        <v>-1.4556960133883214</v>
      </c>
      <c r="Z134" s="412"/>
      <c r="AA134" s="412"/>
      <c r="AB134" s="412"/>
      <c r="AC134" s="412"/>
      <c r="AD134" s="412"/>
      <c r="AE134" s="412"/>
      <c r="AF134" s="413"/>
      <c r="AG134" s="414"/>
      <c r="AH134" s="414"/>
      <c r="AI134" s="414"/>
    </row>
    <row r="135" spans="1:32" s="75" customFormat="1" ht="15" thickBot="1">
      <c r="A135" s="76"/>
      <c r="B135" s="77"/>
      <c r="C135" s="78" t="s">
        <v>63</v>
      </c>
      <c r="D135" s="184">
        <f>MIN(W135:AF135)</f>
        <v>13</v>
      </c>
      <c r="E135" s="185"/>
      <c r="F135" s="186"/>
      <c r="G135" s="54"/>
      <c r="H135" s="55"/>
      <c r="I135" s="55"/>
      <c r="J135" s="56"/>
      <c r="K135" s="54"/>
      <c r="L135" s="55"/>
      <c r="M135" s="55"/>
      <c r="N135" s="55"/>
      <c r="O135" s="55"/>
      <c r="P135" s="55"/>
      <c r="Q135" s="55">
        <f aca="true" t="shared" si="42" ref="Q135:AF135">IF(Q132&gt;0,Q80,)</f>
        <v>0</v>
      </c>
      <c r="R135" s="55">
        <f t="shared" si="42"/>
        <v>0</v>
      </c>
      <c r="S135" s="55">
        <f t="shared" si="42"/>
        <v>0</v>
      </c>
      <c r="T135" s="55">
        <f t="shared" si="42"/>
        <v>0</v>
      </c>
      <c r="U135" s="55">
        <f t="shared" si="42"/>
        <v>0</v>
      </c>
      <c r="V135" s="56">
        <f t="shared" si="42"/>
        <v>0</v>
      </c>
      <c r="W135" s="55">
        <f t="shared" si="42"/>
        <v>13</v>
      </c>
      <c r="X135" s="55">
        <f t="shared" si="42"/>
        <v>14</v>
      </c>
      <c r="Y135" s="55">
        <f t="shared" si="42"/>
        <v>15</v>
      </c>
      <c r="Z135" s="55">
        <f t="shared" si="42"/>
        <v>16</v>
      </c>
      <c r="AA135" s="55">
        <f t="shared" si="42"/>
        <v>17</v>
      </c>
      <c r="AB135" s="55">
        <f t="shared" si="42"/>
        <v>18</v>
      </c>
      <c r="AC135" s="55">
        <f t="shared" si="42"/>
        <v>19</v>
      </c>
      <c r="AD135" s="55">
        <f t="shared" si="42"/>
        <v>20</v>
      </c>
      <c r="AE135" s="55">
        <f t="shared" si="42"/>
        <v>21</v>
      </c>
      <c r="AF135" s="56">
        <f t="shared" si="42"/>
        <v>22</v>
      </c>
    </row>
    <row r="136" spans="1:33" ht="16.5">
      <c r="A136" s="79"/>
      <c r="B136" s="79"/>
      <c r="C136" s="2" t="s">
        <v>109</v>
      </c>
      <c r="D136" s="80" t="s">
        <v>109</v>
      </c>
      <c r="E136" s="24"/>
      <c r="F136" s="24"/>
      <c r="G136" s="24"/>
      <c r="H136" s="24"/>
      <c r="Q136" s="4" t="s">
        <v>109</v>
      </c>
      <c r="R136" s="4" t="s">
        <v>109</v>
      </c>
      <c r="S136" s="4" t="s">
        <v>109</v>
      </c>
      <c r="T136" s="4" t="s">
        <v>109</v>
      </c>
      <c r="U136" s="4" t="s">
        <v>109</v>
      </c>
      <c r="V136" s="4" t="s">
        <v>109</v>
      </c>
      <c r="W136" s="4" t="s">
        <v>109</v>
      </c>
      <c r="X136" s="4" t="s">
        <v>109</v>
      </c>
      <c r="Y136" s="4" t="s">
        <v>109</v>
      </c>
      <c r="Z136" s="4" t="s">
        <v>109</v>
      </c>
      <c r="AA136" s="4" t="s">
        <v>109</v>
      </c>
      <c r="AB136" s="4" t="s">
        <v>109</v>
      </c>
      <c r="AC136" s="4" t="s">
        <v>109</v>
      </c>
      <c r="AD136" s="4" t="s">
        <v>109</v>
      </c>
      <c r="AE136" s="4" t="s">
        <v>109</v>
      </c>
      <c r="AF136" s="4" t="s">
        <v>109</v>
      </c>
      <c r="AG136" s="4" t="s">
        <v>109</v>
      </c>
    </row>
    <row r="137" spans="1:8" ht="16.5">
      <c r="A137" s="79"/>
      <c r="B137" s="79"/>
      <c r="D137" s="80"/>
      <c r="E137" s="24"/>
      <c r="F137" s="24"/>
      <c r="G137" s="24"/>
      <c r="H137" s="24"/>
    </row>
    <row r="138" spans="1:8" ht="16.5">
      <c r="A138" s="79"/>
      <c r="B138" s="79"/>
      <c r="D138" s="80"/>
      <c r="E138" s="24"/>
      <c r="F138" s="24"/>
      <c r="G138" s="24"/>
      <c r="H138" s="24"/>
    </row>
    <row r="139" spans="1:10" s="75" customFormat="1" ht="14.25">
      <c r="A139" s="81"/>
      <c r="B139" s="81"/>
      <c r="C139" s="25"/>
      <c r="D139" s="80"/>
      <c r="E139" s="73"/>
      <c r="F139" s="73"/>
      <c r="G139" s="73"/>
      <c r="H139" s="73"/>
      <c r="I139" s="61"/>
      <c r="J139" s="61"/>
    </row>
    <row r="140" spans="1:10" s="25" customFormat="1" ht="14.25">
      <c r="A140" s="82"/>
      <c r="B140" s="82"/>
      <c r="D140" s="80"/>
      <c r="E140" s="19"/>
      <c r="G140" s="19"/>
      <c r="H140" s="19"/>
      <c r="I140" s="19"/>
      <c r="J140" s="19"/>
    </row>
    <row r="141" spans="1:4" ht="16.5">
      <c r="A141" s="81"/>
      <c r="B141" s="81"/>
      <c r="D141" s="24"/>
    </row>
    <row r="142" spans="1:4" ht="16.5">
      <c r="A142" s="79"/>
      <c r="B142" s="79"/>
      <c r="D142" s="24"/>
    </row>
    <row r="143" spans="1:4" ht="16.5">
      <c r="A143" s="79"/>
      <c r="B143" s="79"/>
      <c r="D143" s="24"/>
    </row>
    <row r="144" spans="1:4" ht="16.5">
      <c r="A144" s="81"/>
      <c r="B144" s="81"/>
      <c r="D144" s="24"/>
    </row>
    <row r="145" spans="1:4" ht="16.5">
      <c r="A145" s="79"/>
      <c r="B145" s="79"/>
      <c r="D145" s="24"/>
    </row>
    <row r="146" spans="1:4" ht="16.5">
      <c r="A146" s="79"/>
      <c r="B146" s="79"/>
      <c r="D146" s="24"/>
    </row>
    <row r="147" spans="1:4" ht="16.5">
      <c r="A147" s="81"/>
      <c r="B147" s="81"/>
      <c r="D147" s="24"/>
    </row>
    <row r="148" spans="1:4" ht="16.5">
      <c r="A148" s="79"/>
      <c r="B148" s="79"/>
      <c r="D148" s="24"/>
    </row>
    <row r="149" spans="1:4" ht="16.5">
      <c r="A149" s="79"/>
      <c r="B149" s="79"/>
      <c r="D149" s="24"/>
    </row>
    <row r="150" spans="1:10" s="75" customFormat="1" ht="14.25">
      <c r="A150" s="81"/>
      <c r="B150" s="81"/>
      <c r="C150" s="25"/>
      <c r="D150" s="80"/>
      <c r="E150" s="61"/>
      <c r="G150" s="61"/>
      <c r="H150" s="61"/>
      <c r="I150" s="61"/>
      <c r="J150" s="61"/>
    </row>
    <row r="151" spans="1:5" ht="16.5">
      <c r="A151" s="79"/>
      <c r="B151" s="79"/>
      <c r="D151" s="83"/>
      <c r="E151" s="5"/>
    </row>
    <row r="152" spans="1:5" ht="16.5">
      <c r="A152" s="79"/>
      <c r="B152" s="79"/>
      <c r="D152" s="83"/>
      <c r="E152" s="5"/>
    </row>
    <row r="153" spans="1:5" ht="16.5">
      <c r="A153" s="79"/>
      <c r="B153" s="79"/>
      <c r="D153" s="83"/>
      <c r="E153" s="5"/>
    </row>
    <row r="154" spans="1:5" ht="16.5">
      <c r="A154" s="79"/>
      <c r="B154" s="79"/>
      <c r="D154" s="83"/>
      <c r="E154" s="5"/>
    </row>
    <row r="155" spans="1:5" ht="16.5">
      <c r="A155" s="79"/>
      <c r="B155" s="79"/>
      <c r="D155" s="83"/>
      <c r="E155" s="5"/>
    </row>
    <row r="156" spans="1:10" s="75" customFormat="1" ht="14.25">
      <c r="A156" s="68"/>
      <c r="B156" s="68"/>
      <c r="C156" s="25"/>
      <c r="D156" s="80"/>
      <c r="E156" s="61"/>
      <c r="G156" s="61"/>
      <c r="H156" s="61"/>
      <c r="I156" s="61"/>
      <c r="J156" s="61"/>
    </row>
  </sheetData>
  <sheetProtection/>
  <printOptions horizontalCentered="1"/>
  <pageMargins left="0" right="0" top="0.15748031496062992" bottom="0.2755905511811024" header="0.1968503937007874" footer="0.1968503937007874"/>
  <pageSetup fitToHeight="2" fitToWidth="1" horizontalDpi="600" verticalDpi="600" orientation="landscape" paperSize="5" scale="38"/>
  <headerFooter alignWithMargins="0">
    <oddHeader>&amp;LSPC&amp;RSAMRA BOT</oddHeader>
    <oddFooter>&amp;L&amp;F/&amp;A&amp;C&amp;P/&amp;N&amp;R&amp;D/&amp;T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35"/>
  <sheetViews>
    <sheetView zoomScalePageLayoutView="0" workbookViewId="0" topLeftCell="A1">
      <selection activeCell="A1" sqref="A1:IV65536"/>
    </sheetView>
  </sheetViews>
  <sheetFormatPr defaultColWidth="7.7109375" defaultRowHeight="12.75"/>
  <cols>
    <col min="1" max="2" width="7.7109375" style="0" customWidth="1"/>
    <col min="3" max="3" width="27.8515625" style="0" bestFit="1" customWidth="1"/>
    <col min="4" max="5" width="7.7109375" style="0" customWidth="1"/>
    <col min="6" max="6" width="10.140625" style="0" bestFit="1" customWidth="1"/>
  </cols>
  <sheetData>
    <row r="1" ht="12.75">
      <c r="A1" t="s">
        <v>122</v>
      </c>
    </row>
    <row r="3" ht="12.75">
      <c r="A3" t="s">
        <v>30</v>
      </c>
    </row>
    <row r="4" ht="13.5" thickBot="1"/>
    <row r="5" spans="1:56" s="4" customFormat="1" ht="19.5" thickBot="1">
      <c r="A5" s="738"/>
      <c r="B5" s="739"/>
      <c r="C5" s="740"/>
      <c r="D5" s="741"/>
      <c r="E5" s="742"/>
      <c r="F5" s="743"/>
      <c r="G5" s="744"/>
      <c r="H5" s="744"/>
      <c r="I5" s="744"/>
      <c r="J5" s="744"/>
      <c r="K5" s="743"/>
      <c r="L5" s="743"/>
      <c r="M5" s="743"/>
      <c r="N5" s="743"/>
      <c r="O5" s="743"/>
      <c r="P5" s="743"/>
      <c r="Q5" s="743"/>
      <c r="R5" s="743"/>
      <c r="S5" s="743"/>
      <c r="T5" s="743"/>
      <c r="U5" s="743"/>
      <c r="V5" s="743"/>
      <c r="W5" s="743"/>
      <c r="X5" s="743"/>
      <c r="Y5" s="743"/>
      <c r="Z5" s="743"/>
      <c r="AA5" s="743"/>
      <c r="AB5" s="743"/>
      <c r="AC5" s="743"/>
      <c r="AD5" s="743"/>
      <c r="AE5" s="743"/>
      <c r="AF5" s="743"/>
      <c r="AG5" s="420"/>
      <c r="AH5" s="420"/>
      <c r="AI5" s="420"/>
      <c r="AJ5" s="420"/>
      <c r="AK5" s="420"/>
      <c r="AL5" s="420"/>
      <c r="AM5" s="420"/>
      <c r="AN5" s="420"/>
      <c r="AO5" s="420"/>
      <c r="AP5" s="420"/>
      <c r="AQ5" s="420"/>
      <c r="AR5" s="420"/>
      <c r="AS5" s="420"/>
      <c r="AT5" s="420"/>
      <c r="AU5" s="420"/>
      <c r="AV5" s="420"/>
      <c r="AW5" s="420"/>
      <c r="AX5" s="420"/>
      <c r="AY5" s="420"/>
      <c r="AZ5" s="420"/>
      <c r="BA5" s="420"/>
      <c r="BB5" s="420"/>
      <c r="BC5" s="420"/>
      <c r="BD5" s="420"/>
    </row>
    <row r="6" spans="1:56" s="4" customFormat="1" ht="19.5" thickBot="1">
      <c r="A6" s="745" t="s">
        <v>40</v>
      </c>
      <c r="B6" s="746"/>
      <c r="C6" s="747"/>
      <c r="D6" s="748">
        <v>4</v>
      </c>
      <c r="E6" s="749" t="s">
        <v>41</v>
      </c>
      <c r="F6" s="743"/>
      <c r="G6" s="744"/>
      <c r="H6" s="744"/>
      <c r="I6" s="744"/>
      <c r="J6" s="744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  <c r="W6" s="743"/>
      <c r="X6" s="743"/>
      <c r="Y6" s="743"/>
      <c r="Z6" s="743"/>
      <c r="AA6" s="743"/>
      <c r="AB6" s="743"/>
      <c r="AC6" s="743"/>
      <c r="AD6" s="743"/>
      <c r="AE6" s="743"/>
      <c r="AF6" s="743"/>
      <c r="AG6" s="420"/>
      <c r="AH6" s="420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  <c r="AX6" s="420"/>
      <c r="AY6" s="420"/>
      <c r="AZ6" s="420"/>
      <c r="BA6" s="420"/>
      <c r="BB6" s="420"/>
      <c r="BC6" s="420"/>
      <c r="BD6" s="420"/>
    </row>
    <row r="7" spans="1:56" s="4" customFormat="1" ht="18.75">
      <c r="A7" s="750"/>
      <c r="B7" s="746"/>
      <c r="C7" s="747"/>
      <c r="D7" s="751"/>
      <c r="E7" s="752"/>
      <c r="F7" s="743"/>
      <c r="G7" s="744"/>
      <c r="H7" s="744"/>
      <c r="I7" s="744"/>
      <c r="J7" s="744"/>
      <c r="K7" s="743"/>
      <c r="L7" s="743"/>
      <c r="M7" s="743"/>
      <c r="N7" s="743"/>
      <c r="O7" s="743"/>
      <c r="P7" s="743"/>
      <c r="Q7" s="743"/>
      <c r="R7" s="743"/>
      <c r="S7" s="743"/>
      <c r="T7" s="743"/>
      <c r="U7" s="743"/>
      <c r="V7" s="743"/>
      <c r="W7" s="743"/>
      <c r="X7" s="743"/>
      <c r="Y7" s="743"/>
      <c r="Z7" s="743"/>
      <c r="AA7" s="743"/>
      <c r="AB7" s="743"/>
      <c r="AC7" s="743"/>
      <c r="AD7" s="743"/>
      <c r="AE7" s="743"/>
      <c r="AF7" s="743"/>
      <c r="AG7" s="420"/>
      <c r="AH7" s="420"/>
      <c r="AI7" s="420"/>
      <c r="AJ7" s="420"/>
      <c r="AK7" s="420"/>
      <c r="AL7" s="420"/>
      <c r="AM7" s="420"/>
      <c r="AN7" s="420"/>
      <c r="AO7" s="420"/>
      <c r="AP7" s="420"/>
      <c r="AQ7" s="420"/>
      <c r="AR7" s="420"/>
      <c r="AS7" s="420"/>
      <c r="AT7" s="420"/>
      <c r="AU7" s="420"/>
      <c r="AV7" s="420"/>
      <c r="AW7" s="420"/>
      <c r="AX7" s="420"/>
      <c r="AY7" s="420"/>
      <c r="AZ7" s="420"/>
      <c r="BA7" s="420"/>
      <c r="BB7" s="420"/>
      <c r="BC7" s="420"/>
      <c r="BD7" s="420"/>
    </row>
    <row r="8" spans="1:56" s="4" customFormat="1" ht="19.5" thickBot="1">
      <c r="A8" s="753" t="s">
        <v>55</v>
      </c>
      <c r="B8" s="746"/>
      <c r="C8" s="747"/>
      <c r="D8" s="754"/>
      <c r="E8" s="752"/>
      <c r="F8" s="743"/>
      <c r="G8" s="755" t="s">
        <v>47</v>
      </c>
      <c r="H8" s="744"/>
      <c r="I8" s="744"/>
      <c r="J8" s="744"/>
      <c r="K8" s="756" t="s">
        <v>0</v>
      </c>
      <c r="L8" s="743"/>
      <c r="M8" s="743"/>
      <c r="N8" s="743"/>
      <c r="O8" s="743"/>
      <c r="P8" s="743"/>
      <c r="Q8" s="743"/>
      <c r="R8" s="743"/>
      <c r="S8" s="743"/>
      <c r="T8" s="743"/>
      <c r="U8" s="743"/>
      <c r="V8" s="743"/>
      <c r="W8" s="743"/>
      <c r="X8" s="743"/>
      <c r="Y8" s="743"/>
      <c r="Z8" s="743"/>
      <c r="AA8" s="743"/>
      <c r="AB8" s="743"/>
      <c r="AC8" s="743"/>
      <c r="AD8" s="743"/>
      <c r="AE8" s="743"/>
      <c r="AF8" s="743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20"/>
      <c r="AZ8" s="420"/>
      <c r="BA8" s="420"/>
      <c r="BB8" s="420"/>
      <c r="BC8" s="420"/>
      <c r="BD8" s="420"/>
    </row>
    <row r="9" spans="1:56" s="4" customFormat="1" ht="19.5" thickBot="1">
      <c r="A9" s="757" t="s">
        <v>123</v>
      </c>
      <c r="B9" s="746"/>
      <c r="C9" s="747"/>
      <c r="D9" s="758">
        <v>110</v>
      </c>
      <c r="E9" s="752" t="s">
        <v>29</v>
      </c>
      <c r="F9" s="743"/>
      <c r="G9" s="759">
        <v>0.3</v>
      </c>
      <c r="H9" s="760">
        <v>0.3</v>
      </c>
      <c r="I9" s="760">
        <v>0.25</v>
      </c>
      <c r="J9" s="761">
        <v>0.15</v>
      </c>
      <c r="K9" s="762">
        <f>SUM(G9:J9)</f>
        <v>1</v>
      </c>
      <c r="L9" s="743" t="str">
        <f>IF(K9=100%,"OK","ERROR")</f>
        <v>OK</v>
      </c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43"/>
      <c r="AC9" s="743"/>
      <c r="AD9" s="743"/>
      <c r="AE9" s="743"/>
      <c r="AF9" s="743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20"/>
    </row>
    <row r="10" spans="1:56" s="4" customFormat="1" ht="19.5" thickBot="1">
      <c r="A10" s="757" t="s">
        <v>124</v>
      </c>
      <c r="B10" s="746"/>
      <c r="C10" s="747"/>
      <c r="D10" s="763">
        <v>5</v>
      </c>
      <c r="E10" s="752" t="s">
        <v>29</v>
      </c>
      <c r="F10" s="743"/>
      <c r="G10" s="759">
        <v>0.3</v>
      </c>
      <c r="H10" s="760">
        <v>0.3</v>
      </c>
      <c r="I10" s="760">
        <v>0.25</v>
      </c>
      <c r="J10" s="761">
        <v>0.15</v>
      </c>
      <c r="K10" s="762">
        <f>SUM(G10:J10)</f>
        <v>1</v>
      </c>
      <c r="L10" s="743" t="str">
        <f>IF(K10=100%,"OK","ERROR")</f>
        <v>OK</v>
      </c>
      <c r="M10" s="743"/>
      <c r="N10" s="743"/>
      <c r="O10" s="743"/>
      <c r="P10" s="743"/>
      <c r="Q10" s="743"/>
      <c r="R10" s="743"/>
      <c r="S10" s="743"/>
      <c r="T10" s="743"/>
      <c r="U10" s="743"/>
      <c r="V10" s="743"/>
      <c r="W10" s="743"/>
      <c r="X10" s="743"/>
      <c r="Y10" s="743"/>
      <c r="Z10" s="743"/>
      <c r="AA10" s="743"/>
      <c r="AB10" s="743"/>
      <c r="AC10" s="743"/>
      <c r="AD10" s="743"/>
      <c r="AE10" s="743"/>
      <c r="AF10" s="743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</row>
    <row r="11" spans="1:56" s="4" customFormat="1" ht="19.5" thickBot="1">
      <c r="A11" s="757" t="s">
        <v>109</v>
      </c>
      <c r="B11" s="746"/>
      <c r="C11" s="747"/>
      <c r="D11" s="763">
        <v>0</v>
      </c>
      <c r="E11" s="752" t="s">
        <v>29</v>
      </c>
      <c r="F11" s="743"/>
      <c r="G11" s="759">
        <v>0.3</v>
      </c>
      <c r="H11" s="760">
        <v>0.3</v>
      </c>
      <c r="I11" s="760">
        <v>0.25</v>
      </c>
      <c r="J11" s="761">
        <v>0.15</v>
      </c>
      <c r="K11" s="762">
        <f>SUM(G11:J11)</f>
        <v>1</v>
      </c>
      <c r="L11" s="743" t="str">
        <f>IF(K11=100%,"OK","ERROR")</f>
        <v>OK</v>
      </c>
      <c r="M11" s="743"/>
      <c r="N11" s="743"/>
      <c r="O11" s="743"/>
      <c r="P11" s="743"/>
      <c r="Q11" s="743"/>
      <c r="R11" s="743"/>
      <c r="S11" s="743"/>
      <c r="T11" s="743"/>
      <c r="U11" s="743"/>
      <c r="V11" s="743"/>
      <c r="W11" s="743"/>
      <c r="X11" s="743"/>
      <c r="Y11" s="743"/>
      <c r="Z11" s="743"/>
      <c r="AA11" s="743"/>
      <c r="AB11" s="743"/>
      <c r="AC11" s="743"/>
      <c r="AD11" s="743"/>
      <c r="AE11" s="743"/>
      <c r="AF11" s="743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</row>
    <row r="12" spans="1:56" s="4" customFormat="1" ht="19.5" thickBot="1">
      <c r="A12" s="757" t="s">
        <v>109</v>
      </c>
      <c r="B12" s="746"/>
      <c r="C12" s="747"/>
      <c r="D12" s="763">
        <v>0</v>
      </c>
      <c r="E12" s="752" t="s">
        <v>29</v>
      </c>
      <c r="F12" s="743"/>
      <c r="G12" s="759">
        <v>0.3</v>
      </c>
      <c r="H12" s="760">
        <v>0.3</v>
      </c>
      <c r="I12" s="760">
        <v>0.25</v>
      </c>
      <c r="J12" s="761">
        <v>0.15</v>
      </c>
      <c r="K12" s="762">
        <f>SUM(G12:J12)</f>
        <v>1</v>
      </c>
      <c r="L12" s="743" t="str">
        <f>IF(K12=100%,"OK","ERROR")</f>
        <v>OK</v>
      </c>
      <c r="M12" s="743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  <c r="AB12" s="743"/>
      <c r="AC12" s="743"/>
      <c r="AD12" s="743"/>
      <c r="AE12" s="743"/>
      <c r="AF12" s="743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20"/>
      <c r="BC12" s="420"/>
      <c r="BD12" s="420"/>
    </row>
    <row r="13" spans="1:56" s="4" customFormat="1" ht="19.5" thickBot="1">
      <c r="A13" s="757" t="s">
        <v>1</v>
      </c>
      <c r="B13" s="746"/>
      <c r="C13" s="747"/>
      <c r="D13" s="764">
        <v>5</v>
      </c>
      <c r="E13" s="752" t="s">
        <v>29</v>
      </c>
      <c r="F13" s="743"/>
      <c r="G13" s="759">
        <v>0.3</v>
      </c>
      <c r="H13" s="760">
        <v>0.3</v>
      </c>
      <c r="I13" s="760">
        <v>0.25</v>
      </c>
      <c r="J13" s="761">
        <v>0.15</v>
      </c>
      <c r="K13" s="762">
        <f>SUM(G13:J13)</f>
        <v>1</v>
      </c>
      <c r="L13" s="743" t="str">
        <f>IF(K13=100%,"OK","ERROR")</f>
        <v>OK</v>
      </c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3"/>
      <c r="AD13" s="743"/>
      <c r="AE13" s="743"/>
      <c r="AF13" s="743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20"/>
    </row>
    <row r="14" spans="1:56" s="75" customFormat="1" ht="19.5" thickBot="1">
      <c r="A14" s="765" t="s">
        <v>49</v>
      </c>
      <c r="B14" s="766"/>
      <c r="C14" s="767"/>
      <c r="D14" s="768">
        <f>SUM(D9:D13)</f>
        <v>120</v>
      </c>
      <c r="E14" s="749" t="s">
        <v>29</v>
      </c>
      <c r="F14" s="769"/>
      <c r="G14" s="755"/>
      <c r="H14" s="755"/>
      <c r="I14" s="755"/>
      <c r="J14" s="755"/>
      <c r="K14" s="769"/>
      <c r="L14" s="769"/>
      <c r="M14" s="769"/>
      <c r="N14" s="769"/>
      <c r="O14" s="769"/>
      <c r="P14" s="769"/>
      <c r="Q14" s="769"/>
      <c r="R14" s="769"/>
      <c r="S14" s="769"/>
      <c r="T14" s="769"/>
      <c r="U14" s="769"/>
      <c r="V14" s="769"/>
      <c r="W14" s="769"/>
      <c r="X14" s="769"/>
      <c r="Y14" s="769"/>
      <c r="Z14" s="769"/>
      <c r="AA14" s="769"/>
      <c r="AB14" s="769"/>
      <c r="AC14" s="769"/>
      <c r="AD14" s="769"/>
      <c r="AE14" s="769"/>
      <c r="AF14" s="769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</row>
    <row r="15" spans="1:56" s="4" customFormat="1" ht="18.75">
      <c r="A15" s="770"/>
      <c r="B15" s="746"/>
      <c r="C15" s="747"/>
      <c r="D15" s="741"/>
      <c r="E15" s="752"/>
      <c r="F15" s="743"/>
      <c r="G15" s="744"/>
      <c r="H15" s="744"/>
      <c r="I15" s="744"/>
      <c r="J15" s="744"/>
      <c r="K15" s="743"/>
      <c r="L15" s="743"/>
      <c r="M15" s="743"/>
      <c r="N15" s="743"/>
      <c r="O15" s="743"/>
      <c r="P15" s="743"/>
      <c r="Q15" s="743"/>
      <c r="R15" s="743"/>
      <c r="S15" s="743"/>
      <c r="T15" s="743"/>
      <c r="U15" s="743"/>
      <c r="V15" s="743"/>
      <c r="W15" s="743"/>
      <c r="X15" s="743"/>
      <c r="Y15" s="743"/>
      <c r="Z15" s="743"/>
      <c r="AA15" s="743"/>
      <c r="AB15" s="743"/>
      <c r="AC15" s="743"/>
      <c r="AD15" s="743"/>
      <c r="AE15" s="743"/>
      <c r="AF15" s="743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</row>
    <row r="16" spans="1:56" s="75" customFormat="1" ht="19.5" thickBot="1">
      <c r="A16" s="753" t="s">
        <v>44</v>
      </c>
      <c r="B16" s="766"/>
      <c r="C16" s="767"/>
      <c r="D16" s="754"/>
      <c r="E16" s="749"/>
      <c r="F16" s="769"/>
      <c r="G16" s="755" t="s">
        <v>48</v>
      </c>
      <c r="H16" s="755"/>
      <c r="I16" s="755"/>
      <c r="J16" s="755"/>
      <c r="K16" s="756" t="s">
        <v>0</v>
      </c>
      <c r="L16" s="769"/>
      <c r="M16" s="769"/>
      <c r="N16" s="769"/>
      <c r="O16" s="769"/>
      <c r="P16" s="769"/>
      <c r="Q16" s="769"/>
      <c r="R16" s="769"/>
      <c r="S16" s="769"/>
      <c r="T16" s="769"/>
      <c r="U16" s="769"/>
      <c r="V16" s="769"/>
      <c r="W16" s="769"/>
      <c r="X16" s="769"/>
      <c r="Y16" s="769"/>
      <c r="Z16" s="769"/>
      <c r="AA16" s="769"/>
      <c r="AB16" s="769"/>
      <c r="AC16" s="769"/>
      <c r="AD16" s="769"/>
      <c r="AE16" s="769"/>
      <c r="AF16" s="769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4"/>
    </row>
    <row r="17" spans="1:56" s="4" customFormat="1" ht="19.5" thickBot="1">
      <c r="A17" s="771" t="s">
        <v>39</v>
      </c>
      <c r="B17" s="746"/>
      <c r="C17" s="747"/>
      <c r="D17" s="772">
        <v>0</v>
      </c>
      <c r="E17" s="752" t="s">
        <v>29</v>
      </c>
      <c r="F17" s="743"/>
      <c r="G17" s="773">
        <v>0.2</v>
      </c>
      <c r="H17" s="760">
        <v>0.4</v>
      </c>
      <c r="I17" s="760">
        <v>0.35</v>
      </c>
      <c r="J17" s="761">
        <v>0.05</v>
      </c>
      <c r="K17" s="774">
        <f>SUM(G17:J17)</f>
        <v>1</v>
      </c>
      <c r="L17" s="743" t="str">
        <f>IF(K17=100%,"OK","ERROR")</f>
        <v>OK</v>
      </c>
      <c r="M17" s="743"/>
      <c r="N17" s="743"/>
      <c r="O17" s="743"/>
      <c r="P17" s="743"/>
      <c r="Q17" s="743"/>
      <c r="R17" s="743"/>
      <c r="S17" s="743"/>
      <c r="T17" s="743"/>
      <c r="U17" s="743"/>
      <c r="V17" s="743"/>
      <c r="W17" s="743"/>
      <c r="X17" s="743"/>
      <c r="Y17" s="743"/>
      <c r="Z17" s="743"/>
      <c r="AA17" s="743"/>
      <c r="AB17" s="743"/>
      <c r="AC17" s="743"/>
      <c r="AD17" s="743"/>
      <c r="AE17" s="743"/>
      <c r="AF17" s="743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</row>
    <row r="18" spans="1:56" s="4" customFormat="1" ht="19.5" thickBot="1">
      <c r="A18" s="771" t="s">
        <v>46</v>
      </c>
      <c r="B18" s="746"/>
      <c r="C18" s="747"/>
      <c r="D18" s="775">
        <v>24</v>
      </c>
      <c r="E18" s="752" t="s">
        <v>29</v>
      </c>
      <c r="F18" s="743"/>
      <c r="G18" s="773">
        <v>0</v>
      </c>
      <c r="H18" s="760">
        <v>0</v>
      </c>
      <c r="I18" s="760">
        <v>0.5</v>
      </c>
      <c r="J18" s="761">
        <v>0.5</v>
      </c>
      <c r="K18" s="776">
        <f>SUM(G18:J18)</f>
        <v>1</v>
      </c>
      <c r="L18" s="743" t="str">
        <f>IF(K18=100%,"OK","ERROR")</f>
        <v>OK</v>
      </c>
      <c r="M18" s="743"/>
      <c r="N18" s="743"/>
      <c r="O18" s="743"/>
      <c r="P18" s="743"/>
      <c r="Q18" s="743"/>
      <c r="R18" s="743"/>
      <c r="S18" s="743"/>
      <c r="T18" s="743"/>
      <c r="U18" s="743"/>
      <c r="V18" s="743"/>
      <c r="W18" s="743"/>
      <c r="X18" s="743"/>
      <c r="Y18" s="743"/>
      <c r="Z18" s="743"/>
      <c r="AA18" s="743"/>
      <c r="AB18" s="743"/>
      <c r="AC18" s="743"/>
      <c r="AD18" s="743"/>
      <c r="AE18" s="743"/>
      <c r="AF18" s="743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C18" s="420"/>
      <c r="BD18" s="420"/>
    </row>
    <row r="19" spans="1:56" s="4" customFormat="1" ht="19.5" thickBot="1">
      <c r="A19" s="771" t="s">
        <v>66</v>
      </c>
      <c r="B19" s="746"/>
      <c r="C19" s="747"/>
      <c r="D19" s="777">
        <v>2</v>
      </c>
      <c r="E19" s="752"/>
      <c r="F19" s="743"/>
      <c r="G19" s="744"/>
      <c r="H19" s="744"/>
      <c r="I19" s="744"/>
      <c r="J19" s="744"/>
      <c r="K19" s="743"/>
      <c r="L19" s="743"/>
      <c r="M19" s="743"/>
      <c r="N19" s="743"/>
      <c r="O19" s="743"/>
      <c r="P19" s="743"/>
      <c r="Q19" s="743"/>
      <c r="R19" s="743"/>
      <c r="S19" s="743"/>
      <c r="T19" s="743"/>
      <c r="U19" s="743"/>
      <c r="V19" s="743"/>
      <c r="W19" s="743"/>
      <c r="X19" s="743"/>
      <c r="Y19" s="743"/>
      <c r="Z19" s="743"/>
      <c r="AA19" s="743"/>
      <c r="AB19" s="743"/>
      <c r="AC19" s="743"/>
      <c r="AD19" s="743"/>
      <c r="AE19" s="743"/>
      <c r="AF19" s="743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420"/>
      <c r="AY19" s="420"/>
      <c r="AZ19" s="420"/>
      <c r="BA19" s="420"/>
      <c r="BB19" s="420"/>
      <c r="BC19" s="420"/>
      <c r="BD19" s="420"/>
    </row>
    <row r="20" spans="1:56" s="4" customFormat="1" ht="19.5" thickBot="1">
      <c r="A20" s="771" t="s">
        <v>38</v>
      </c>
      <c r="B20" s="746"/>
      <c r="C20" s="747"/>
      <c r="D20" s="778">
        <v>0.08</v>
      </c>
      <c r="E20" s="752"/>
      <c r="F20" s="743"/>
      <c r="G20" s="744"/>
      <c r="H20" s="744"/>
      <c r="I20" s="744"/>
      <c r="J20" s="744"/>
      <c r="K20" s="743"/>
      <c r="L20" s="743"/>
      <c r="M20" s="743"/>
      <c r="N20" s="743"/>
      <c r="O20" s="743"/>
      <c r="P20" s="743"/>
      <c r="Q20" s="743"/>
      <c r="R20" s="743"/>
      <c r="S20" s="743"/>
      <c r="T20" s="743"/>
      <c r="U20" s="743"/>
      <c r="V20" s="743"/>
      <c r="W20" s="743"/>
      <c r="X20" s="743"/>
      <c r="Y20" s="743"/>
      <c r="Z20" s="743"/>
      <c r="AA20" s="743"/>
      <c r="AB20" s="743"/>
      <c r="AC20" s="743"/>
      <c r="AD20" s="743"/>
      <c r="AE20" s="743"/>
      <c r="AF20" s="743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</row>
    <row r="21" spans="1:56" s="4" customFormat="1" ht="19.5" thickBot="1">
      <c r="A21" s="771" t="s">
        <v>32</v>
      </c>
      <c r="B21" s="746"/>
      <c r="C21" s="747"/>
      <c r="D21" s="779">
        <v>13</v>
      </c>
      <c r="E21" s="752" t="s">
        <v>31</v>
      </c>
      <c r="F21" s="743"/>
      <c r="G21" s="755" t="s">
        <v>68</v>
      </c>
      <c r="H21" s="744"/>
      <c r="I21" s="744"/>
      <c r="J21" s="744"/>
      <c r="K21" s="756" t="s">
        <v>0</v>
      </c>
      <c r="L21" s="743"/>
      <c r="M21" s="743"/>
      <c r="N21" s="743"/>
      <c r="O21" s="743"/>
      <c r="P21" s="743"/>
      <c r="Q21" s="743"/>
      <c r="R21" s="743"/>
      <c r="S21" s="743"/>
      <c r="T21" s="743"/>
      <c r="U21" s="743"/>
      <c r="V21" s="743"/>
      <c r="W21" s="743"/>
      <c r="X21" s="743"/>
      <c r="Y21" s="743"/>
      <c r="Z21" s="743"/>
      <c r="AA21" s="743"/>
      <c r="AB21" s="743"/>
      <c r="AC21" s="743"/>
      <c r="AD21" s="743"/>
      <c r="AE21" s="743"/>
      <c r="AF21" s="743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</row>
    <row r="22" spans="1:56" s="4" customFormat="1" ht="19.5" thickBot="1">
      <c r="A22" s="771" t="s">
        <v>69</v>
      </c>
      <c r="B22" s="746"/>
      <c r="C22" s="747"/>
      <c r="D22" s="780">
        <f>D14-D17-D18</f>
        <v>96</v>
      </c>
      <c r="E22" s="752" t="s">
        <v>29</v>
      </c>
      <c r="F22" s="743"/>
      <c r="G22" s="773">
        <v>0.5</v>
      </c>
      <c r="H22" s="760">
        <v>0.5</v>
      </c>
      <c r="I22" s="760">
        <v>0</v>
      </c>
      <c r="J22" s="761">
        <v>0</v>
      </c>
      <c r="K22" s="774">
        <f>SUM(G22:J22)</f>
        <v>1</v>
      </c>
      <c r="L22" s="743" t="str">
        <f>IF(K22=100%,"OK","ERROR")</f>
        <v>OK</v>
      </c>
      <c r="M22" s="743"/>
      <c r="N22" s="743"/>
      <c r="O22" s="743"/>
      <c r="P22" s="743"/>
      <c r="Q22" s="743"/>
      <c r="R22" s="743"/>
      <c r="S22" s="743"/>
      <c r="T22" s="743"/>
      <c r="U22" s="743"/>
      <c r="V22" s="743"/>
      <c r="W22" s="743"/>
      <c r="X22" s="743"/>
      <c r="Y22" s="743"/>
      <c r="Z22" s="743"/>
      <c r="AA22" s="743"/>
      <c r="AB22" s="743"/>
      <c r="AC22" s="743"/>
      <c r="AD22" s="743"/>
      <c r="AE22" s="743"/>
      <c r="AF22" s="743"/>
      <c r="AG22" s="420"/>
      <c r="AH22" s="420"/>
      <c r="AI22" s="420"/>
      <c r="AJ22" s="420"/>
      <c r="AK22" s="420"/>
      <c r="AL22" s="420"/>
      <c r="AM22" s="420"/>
      <c r="AN22" s="420"/>
      <c r="AO22" s="420"/>
      <c r="AP22" s="420"/>
      <c r="AQ22" s="420"/>
      <c r="AR22" s="420"/>
      <c r="AS22" s="420"/>
      <c r="AT22" s="420"/>
      <c r="AU22" s="420"/>
      <c r="AV22" s="420"/>
      <c r="AW22" s="420"/>
      <c r="AX22" s="420"/>
      <c r="AY22" s="420"/>
      <c r="AZ22" s="420"/>
      <c r="BA22" s="420"/>
      <c r="BB22" s="420"/>
      <c r="BC22" s="420"/>
      <c r="BD22" s="420"/>
    </row>
    <row r="23" spans="1:56" s="4" customFormat="1" ht="19.5" thickBot="1">
      <c r="A23" s="771" t="s">
        <v>70</v>
      </c>
      <c r="B23" s="746"/>
      <c r="C23" s="747"/>
      <c r="D23" s="781">
        <f>K23</f>
        <v>7.833600000000001</v>
      </c>
      <c r="E23" s="752" t="s">
        <v>29</v>
      </c>
      <c r="F23" s="743"/>
      <c r="G23" s="782">
        <f>$D22*G22*$D20</f>
        <v>3.84</v>
      </c>
      <c r="H23" s="783">
        <f>($D22+G23)*H22*$D20</f>
        <v>3.9936000000000003</v>
      </c>
      <c r="I23" s="783">
        <f>($D22+H23+G23)*I22*$D20</f>
        <v>0</v>
      </c>
      <c r="J23" s="784">
        <f>($D22+I23+H23+G23)*J22*$D20</f>
        <v>0</v>
      </c>
      <c r="K23" s="785">
        <f>SUM(G23:J23)</f>
        <v>7.833600000000001</v>
      </c>
      <c r="L23" s="743"/>
      <c r="M23" s="743"/>
      <c r="N23" s="743"/>
      <c r="O23" s="743"/>
      <c r="P23" s="743"/>
      <c r="Q23" s="743"/>
      <c r="R23" s="743"/>
      <c r="S23" s="743"/>
      <c r="T23" s="743"/>
      <c r="U23" s="743"/>
      <c r="V23" s="743"/>
      <c r="W23" s="743"/>
      <c r="X23" s="743"/>
      <c r="Y23" s="743"/>
      <c r="Z23" s="743"/>
      <c r="AA23" s="743"/>
      <c r="AB23" s="743"/>
      <c r="AC23" s="743"/>
      <c r="AD23" s="743"/>
      <c r="AE23" s="743"/>
      <c r="AF23" s="743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</row>
    <row r="24" spans="1:56" s="4" customFormat="1" ht="19.5" thickBot="1">
      <c r="A24" s="765" t="s">
        <v>92</v>
      </c>
      <c r="B24" s="746"/>
      <c r="C24" s="747"/>
      <c r="D24" s="781">
        <f>D14-D17-D18+D23</f>
        <v>103.8336</v>
      </c>
      <c r="E24" s="752" t="s">
        <v>29</v>
      </c>
      <c r="F24" s="743"/>
      <c r="G24" s="743"/>
      <c r="H24" s="743"/>
      <c r="I24" s="743"/>
      <c r="J24" s="743"/>
      <c r="K24" s="743"/>
      <c r="L24" s="743"/>
      <c r="M24" s="743"/>
      <c r="N24" s="743"/>
      <c r="O24" s="743"/>
      <c r="P24" s="743"/>
      <c r="Q24" s="743"/>
      <c r="R24" s="743"/>
      <c r="S24" s="743"/>
      <c r="T24" s="743"/>
      <c r="U24" s="743"/>
      <c r="V24" s="743"/>
      <c r="W24" s="743"/>
      <c r="X24" s="743"/>
      <c r="Y24" s="743"/>
      <c r="Z24" s="743"/>
      <c r="AA24" s="743"/>
      <c r="AB24" s="743"/>
      <c r="AC24" s="743"/>
      <c r="AD24" s="743"/>
      <c r="AE24" s="743"/>
      <c r="AF24" s="743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  <c r="BD24" s="420"/>
    </row>
    <row r="25" spans="1:56" s="4" customFormat="1" ht="19.5" thickBot="1">
      <c r="A25" s="786"/>
      <c r="B25" s="787"/>
      <c r="C25" s="788"/>
      <c r="D25" s="789"/>
      <c r="E25" s="790"/>
      <c r="F25" s="743"/>
      <c r="G25" s="744"/>
      <c r="H25" s="744"/>
      <c r="I25" s="744"/>
      <c r="J25" s="744"/>
      <c r="K25" s="743"/>
      <c r="L25" s="743"/>
      <c r="M25" s="743"/>
      <c r="N25" s="743"/>
      <c r="O25" s="743"/>
      <c r="P25" s="743"/>
      <c r="Q25" s="743"/>
      <c r="R25" s="743"/>
      <c r="S25" s="743"/>
      <c r="T25" s="743"/>
      <c r="U25" s="743"/>
      <c r="V25" s="743"/>
      <c r="W25" s="743"/>
      <c r="X25" s="743"/>
      <c r="Y25" s="743"/>
      <c r="Z25" s="743"/>
      <c r="AA25" s="743"/>
      <c r="AB25" s="743"/>
      <c r="AC25" s="743"/>
      <c r="AD25" s="743"/>
      <c r="AE25" s="743"/>
      <c r="AF25" s="743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</row>
    <row r="26" spans="1:32" ht="13.5" thickBot="1">
      <c r="A26" s="791"/>
      <c r="B26" s="792"/>
      <c r="C26" s="793"/>
      <c r="D26" s="794"/>
      <c r="E26" s="743"/>
      <c r="F26" s="743"/>
      <c r="G26" s="744"/>
      <c r="H26" s="744"/>
      <c r="I26" s="744"/>
      <c r="J26" s="744"/>
      <c r="K26" s="743"/>
      <c r="L26" s="743"/>
      <c r="M26" s="743"/>
      <c r="N26" s="743"/>
      <c r="O26" s="743"/>
      <c r="P26" s="743"/>
      <c r="Q26" s="743"/>
      <c r="R26" s="743"/>
      <c r="S26" s="743"/>
      <c r="T26" s="743"/>
      <c r="U26" s="743"/>
      <c r="V26" s="743"/>
      <c r="W26" s="743"/>
      <c r="X26" s="743"/>
      <c r="Y26" s="743"/>
      <c r="Z26" s="743"/>
      <c r="AA26" s="743"/>
      <c r="AB26" s="743"/>
      <c r="AC26" s="743"/>
      <c r="AD26" s="743"/>
      <c r="AE26" s="743"/>
      <c r="AF26" s="743"/>
    </row>
    <row r="27" spans="1:32" ht="13.5" thickBot="1">
      <c r="A27" s="738"/>
      <c r="B27" s="739"/>
      <c r="C27" s="740"/>
      <c r="D27" s="741"/>
      <c r="E27" s="742"/>
      <c r="F27" s="743"/>
      <c r="G27" s="744"/>
      <c r="H27" s="744"/>
      <c r="I27" s="744"/>
      <c r="J27" s="744"/>
      <c r="K27" s="743"/>
      <c r="L27" s="743"/>
      <c r="M27" s="743"/>
      <c r="N27" s="743"/>
      <c r="O27" s="743"/>
      <c r="P27" s="743"/>
      <c r="Q27" s="743"/>
      <c r="R27" s="743"/>
      <c r="S27" s="743"/>
      <c r="T27" s="743"/>
      <c r="U27" s="743"/>
      <c r="V27" s="743"/>
      <c r="W27" s="743"/>
      <c r="X27" s="743"/>
      <c r="Y27" s="743"/>
      <c r="Z27" s="743"/>
      <c r="AA27" s="743"/>
      <c r="AB27" s="743"/>
      <c r="AC27" s="743"/>
      <c r="AD27" s="743"/>
      <c r="AE27" s="743"/>
      <c r="AF27" s="743"/>
    </row>
    <row r="28" spans="1:32" ht="13.5" thickBot="1">
      <c r="A28" s="795" t="s">
        <v>42</v>
      </c>
      <c r="B28" s="746"/>
      <c r="C28" s="747"/>
      <c r="D28" s="748">
        <v>22</v>
      </c>
      <c r="E28" s="749" t="s">
        <v>41</v>
      </c>
      <c r="F28" s="743"/>
      <c r="G28" s="744"/>
      <c r="H28" s="744"/>
      <c r="I28" s="744"/>
      <c r="J28" s="744"/>
      <c r="K28" s="743"/>
      <c r="L28" s="743"/>
      <c r="M28" s="743"/>
      <c r="N28" s="743"/>
      <c r="O28" s="743"/>
      <c r="P28" s="743"/>
      <c r="Q28" s="743"/>
      <c r="R28" s="743"/>
      <c r="S28" s="743"/>
      <c r="T28" s="743"/>
      <c r="U28" s="743"/>
      <c r="V28" s="743"/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</row>
    <row r="29" spans="1:32" ht="13.5" thickBot="1">
      <c r="A29" s="745"/>
      <c r="B29" s="746"/>
      <c r="C29" s="747"/>
      <c r="D29" s="796"/>
      <c r="E29" s="752"/>
      <c r="F29" s="743"/>
      <c r="G29" s="744"/>
      <c r="H29" s="744"/>
      <c r="I29" s="744"/>
      <c r="J29" s="744"/>
      <c r="K29" s="743"/>
      <c r="L29" s="743"/>
      <c r="M29" s="743"/>
      <c r="N29" s="743"/>
      <c r="O29" s="743"/>
      <c r="P29" s="743"/>
      <c r="Q29" s="743"/>
      <c r="R29" s="743"/>
      <c r="S29" s="743"/>
      <c r="T29" s="743"/>
      <c r="U29" s="743"/>
      <c r="V29" s="743"/>
      <c r="W29" s="743"/>
      <c r="X29" s="743"/>
      <c r="Y29" s="743"/>
      <c r="Z29" s="743"/>
      <c r="AA29" s="743"/>
      <c r="AB29" s="743"/>
      <c r="AC29" s="743"/>
      <c r="AD29" s="743"/>
      <c r="AE29" s="743"/>
      <c r="AF29" s="743"/>
    </row>
    <row r="30" spans="1:32" ht="13.5" thickBot="1">
      <c r="A30" s="753" t="s">
        <v>75</v>
      </c>
      <c r="B30" s="744"/>
      <c r="C30" s="747"/>
      <c r="D30" s="778">
        <v>0.04</v>
      </c>
      <c r="E30" s="752"/>
      <c r="F30" s="743"/>
      <c r="G30" s="744"/>
      <c r="H30" s="744"/>
      <c r="I30" s="744"/>
      <c r="J30" s="744"/>
      <c r="K30" s="743"/>
      <c r="L30" s="743"/>
      <c r="M30" s="743"/>
      <c r="N30" s="743"/>
      <c r="O30" s="743"/>
      <c r="P30" s="743"/>
      <c r="Q30" s="743"/>
      <c r="R30" s="743"/>
      <c r="S30" s="743"/>
      <c r="T30" s="743"/>
      <c r="U30" s="743"/>
      <c r="V30" s="743"/>
      <c r="W30" s="743"/>
      <c r="X30" s="743"/>
      <c r="Y30" s="743"/>
      <c r="Z30" s="743"/>
      <c r="AA30" s="743"/>
      <c r="AB30" s="743"/>
      <c r="AC30" s="743"/>
      <c r="AD30" s="743"/>
      <c r="AE30" s="743"/>
      <c r="AF30" s="743"/>
    </row>
    <row r="31" spans="1:32" ht="13.5" thickBot="1">
      <c r="A31" s="745"/>
      <c r="B31" s="744"/>
      <c r="C31" s="747"/>
      <c r="D31" s="797"/>
      <c r="E31" s="752"/>
      <c r="F31" s="743"/>
      <c r="G31" s="744"/>
      <c r="H31" s="744"/>
      <c r="I31" s="744"/>
      <c r="J31" s="744"/>
      <c r="K31" s="769" t="s">
        <v>86</v>
      </c>
      <c r="L31" s="743"/>
      <c r="M31" s="743"/>
      <c r="N31" s="743"/>
      <c r="O31" s="743"/>
      <c r="P31" s="743"/>
      <c r="Q31" s="743"/>
      <c r="R31" s="743"/>
      <c r="S31" s="743"/>
      <c r="T31" s="743"/>
      <c r="U31" s="743"/>
      <c r="V31" s="743"/>
      <c r="W31" s="743"/>
      <c r="X31" s="743"/>
      <c r="Y31" s="743"/>
      <c r="Z31" s="743"/>
      <c r="AA31" s="743"/>
      <c r="AB31" s="743"/>
      <c r="AC31" s="743"/>
      <c r="AD31" s="743"/>
      <c r="AE31" s="743"/>
      <c r="AF31" s="743"/>
    </row>
    <row r="32" spans="1:32" ht="13.5" thickBot="1">
      <c r="A32" s="753" t="s">
        <v>125</v>
      </c>
      <c r="B32" s="746"/>
      <c r="C32" s="747"/>
      <c r="D32" s="772">
        <v>200000</v>
      </c>
      <c r="E32" s="752" t="s">
        <v>136</v>
      </c>
      <c r="F32" s="743"/>
      <c r="G32" s="744"/>
      <c r="H32" s="744" t="s">
        <v>132</v>
      </c>
      <c r="I32" s="743" t="str">
        <f>IF(J32=100%,"OK","ERROR")</f>
        <v>OK</v>
      </c>
      <c r="J32" s="798">
        <f>SUM(K32:AF32)/22</f>
        <v>1</v>
      </c>
      <c r="K32" s="773">
        <v>1</v>
      </c>
      <c r="L32" s="760">
        <v>1</v>
      </c>
      <c r="M32" s="760">
        <v>1</v>
      </c>
      <c r="N32" s="760">
        <v>1</v>
      </c>
      <c r="O32" s="760">
        <v>1</v>
      </c>
      <c r="P32" s="760">
        <v>1</v>
      </c>
      <c r="Q32" s="760">
        <v>1</v>
      </c>
      <c r="R32" s="760">
        <v>1</v>
      </c>
      <c r="S32" s="760">
        <v>1</v>
      </c>
      <c r="T32" s="760">
        <v>1</v>
      </c>
      <c r="U32" s="760">
        <v>1</v>
      </c>
      <c r="V32" s="760">
        <v>1</v>
      </c>
      <c r="W32" s="760">
        <v>1</v>
      </c>
      <c r="X32" s="760">
        <v>1</v>
      </c>
      <c r="Y32" s="760">
        <v>1</v>
      </c>
      <c r="Z32" s="760">
        <v>1</v>
      </c>
      <c r="AA32" s="760">
        <v>1</v>
      </c>
      <c r="AB32" s="760">
        <v>1</v>
      </c>
      <c r="AC32" s="760">
        <v>1</v>
      </c>
      <c r="AD32" s="760">
        <v>1</v>
      </c>
      <c r="AE32" s="760">
        <v>1</v>
      </c>
      <c r="AF32" s="761">
        <v>1</v>
      </c>
    </row>
    <row r="33" spans="1:32" ht="13.5" thickBot="1">
      <c r="A33" s="753" t="s">
        <v>126</v>
      </c>
      <c r="B33" s="746"/>
      <c r="C33" s="747"/>
      <c r="D33" s="772">
        <v>10000</v>
      </c>
      <c r="E33" s="752" t="s">
        <v>137</v>
      </c>
      <c r="F33" s="743"/>
      <c r="G33" s="744"/>
      <c r="H33" s="744" t="s">
        <v>133</v>
      </c>
      <c r="I33" s="743" t="str">
        <f>IF(J33=100%,"OK","ERROR")</f>
        <v>OK</v>
      </c>
      <c r="J33" s="798">
        <f>SUM(K33:AF33)/22</f>
        <v>1</v>
      </c>
      <c r="K33" s="773">
        <v>1</v>
      </c>
      <c r="L33" s="760">
        <v>1</v>
      </c>
      <c r="M33" s="760">
        <v>1</v>
      </c>
      <c r="N33" s="760">
        <v>1</v>
      </c>
      <c r="O33" s="760">
        <v>1</v>
      </c>
      <c r="P33" s="760">
        <v>1</v>
      </c>
      <c r="Q33" s="760">
        <v>1</v>
      </c>
      <c r="R33" s="760">
        <v>1</v>
      </c>
      <c r="S33" s="760">
        <v>1</v>
      </c>
      <c r="T33" s="760">
        <v>1</v>
      </c>
      <c r="U33" s="760">
        <v>1</v>
      </c>
      <c r="V33" s="760">
        <v>1</v>
      </c>
      <c r="W33" s="760">
        <v>1</v>
      </c>
      <c r="X33" s="760">
        <v>1</v>
      </c>
      <c r="Y33" s="760">
        <v>1</v>
      </c>
      <c r="Z33" s="760">
        <v>1</v>
      </c>
      <c r="AA33" s="760">
        <v>1</v>
      </c>
      <c r="AB33" s="760">
        <v>1</v>
      </c>
      <c r="AC33" s="760">
        <v>1</v>
      </c>
      <c r="AD33" s="760">
        <v>1</v>
      </c>
      <c r="AE33" s="760">
        <v>1</v>
      </c>
      <c r="AF33" s="761">
        <v>1</v>
      </c>
    </row>
    <row r="34" spans="1:32" ht="13.5" thickBot="1">
      <c r="A34" s="770"/>
      <c r="B34" s="746"/>
      <c r="C34" s="747"/>
      <c r="D34" s="799"/>
      <c r="E34" s="752"/>
      <c r="F34" s="743"/>
      <c r="G34" s="744"/>
      <c r="H34" s="744"/>
      <c r="I34" s="744"/>
      <c r="J34" s="744"/>
      <c r="K34" s="769"/>
      <c r="L34" s="743"/>
      <c r="M34" s="743"/>
      <c r="N34" s="743"/>
      <c r="O34" s="743"/>
      <c r="P34" s="743"/>
      <c r="Q34" s="743"/>
      <c r="R34" s="743"/>
      <c r="S34" s="743"/>
      <c r="T34" s="743"/>
      <c r="U34" s="743"/>
      <c r="V34" s="743"/>
      <c r="W34" s="743"/>
      <c r="X34" s="743"/>
      <c r="Y34" s="743"/>
      <c r="Z34" s="743"/>
      <c r="AA34" s="743"/>
      <c r="AB34" s="743"/>
      <c r="AC34" s="743"/>
      <c r="AD34" s="743"/>
      <c r="AE34" s="743"/>
      <c r="AF34" s="743"/>
    </row>
    <row r="35" spans="1:32" ht="13.5" thickBot="1">
      <c r="A35" s="753" t="s">
        <v>56</v>
      </c>
      <c r="B35" s="766"/>
      <c r="C35" s="767"/>
      <c r="D35" s="800">
        <v>3.5</v>
      </c>
      <c r="E35" s="749" t="s">
        <v>54</v>
      </c>
      <c r="F35" s="801" t="s">
        <v>109</v>
      </c>
      <c r="G35" s="755"/>
      <c r="H35" s="755"/>
      <c r="I35" s="802"/>
      <c r="J35" s="803"/>
      <c r="K35" s="803"/>
      <c r="L35" s="803"/>
      <c r="M35" s="803"/>
      <c r="N35" s="803"/>
      <c r="O35" s="803"/>
      <c r="P35" s="803"/>
      <c r="Q35" s="803"/>
      <c r="R35" s="803"/>
      <c r="S35" s="803"/>
      <c r="T35" s="803"/>
      <c r="U35" s="803"/>
      <c r="V35" s="803"/>
      <c r="W35" s="803"/>
      <c r="X35" s="803"/>
      <c r="Y35" s="803"/>
      <c r="Z35" s="803"/>
      <c r="AA35" s="803"/>
      <c r="AB35" s="803"/>
      <c r="AC35" s="803"/>
      <c r="AD35" s="803"/>
      <c r="AE35" s="803"/>
      <c r="AF35" s="803"/>
    </row>
    <row r="36" spans="1:32" ht="13.5" thickBot="1">
      <c r="A36" s="770" t="s">
        <v>128</v>
      </c>
      <c r="B36" s="746"/>
      <c r="C36" s="747"/>
      <c r="D36" s="804">
        <v>10</v>
      </c>
      <c r="E36" s="752" t="s">
        <v>127</v>
      </c>
      <c r="F36" s="805" t="s">
        <v>109</v>
      </c>
      <c r="G36" s="744"/>
      <c r="H36" s="744"/>
      <c r="I36" s="744"/>
      <c r="J36" s="806"/>
      <c r="K36" s="806"/>
      <c r="L36" s="806"/>
      <c r="M36" s="806"/>
      <c r="N36" s="806"/>
      <c r="O36" s="806"/>
      <c r="P36" s="806"/>
      <c r="Q36" s="806"/>
      <c r="R36" s="806"/>
      <c r="S36" s="806"/>
      <c r="T36" s="806"/>
      <c r="U36" s="806"/>
      <c r="V36" s="806"/>
      <c r="W36" s="806"/>
      <c r="X36" s="806"/>
      <c r="Y36" s="806"/>
      <c r="Z36" s="806"/>
      <c r="AA36" s="806"/>
      <c r="AB36" s="806"/>
      <c r="AC36" s="806"/>
      <c r="AD36" s="806"/>
      <c r="AE36" s="806"/>
      <c r="AF36" s="806"/>
    </row>
    <row r="37" spans="1:32" ht="13.5" thickBot="1">
      <c r="A37" s="770" t="s">
        <v>128</v>
      </c>
      <c r="B37" s="746"/>
      <c r="C37" s="747"/>
      <c r="D37" s="804">
        <v>0</v>
      </c>
      <c r="E37" s="752" t="s">
        <v>129</v>
      </c>
      <c r="F37" s="807" t="s">
        <v>109</v>
      </c>
      <c r="G37" s="744"/>
      <c r="H37" s="744"/>
      <c r="I37" s="808"/>
      <c r="J37" s="806"/>
      <c r="K37" s="802"/>
      <c r="L37" s="806"/>
      <c r="M37" s="806"/>
      <c r="N37" s="806"/>
      <c r="O37" s="806"/>
      <c r="P37" s="806"/>
      <c r="Q37" s="806"/>
      <c r="R37" s="806"/>
      <c r="S37" s="806"/>
      <c r="T37" s="806"/>
      <c r="U37" s="806"/>
      <c r="V37" s="806"/>
      <c r="W37" s="806"/>
      <c r="X37" s="806"/>
      <c r="Y37" s="806"/>
      <c r="Z37" s="806"/>
      <c r="AA37" s="806"/>
      <c r="AB37" s="806"/>
      <c r="AC37" s="806"/>
      <c r="AD37" s="806"/>
      <c r="AE37" s="806"/>
      <c r="AF37" s="806"/>
    </row>
    <row r="38" spans="1:124" ht="13.5" thickBot="1">
      <c r="A38" s="753" t="s">
        <v>57</v>
      </c>
      <c r="B38" s="766"/>
      <c r="C38" s="767"/>
      <c r="D38" s="809">
        <f>AVERAGE(K38:AF38)</f>
        <v>1.0292999999999994</v>
      </c>
      <c r="E38" s="749" t="s">
        <v>83</v>
      </c>
      <c r="F38" s="801" t="s">
        <v>109</v>
      </c>
      <c r="G38" s="755"/>
      <c r="H38" s="755"/>
      <c r="I38" s="802"/>
      <c r="J38" s="803"/>
      <c r="K38" s="810">
        <f aca="true" t="shared" si="0" ref="K38:AF38">$D$36/1000*1.41*$D$32*K32*365/1000000+$D$37/1000*1.41*$D$33*K33*365/1000000</f>
        <v>1.0293</v>
      </c>
      <c r="L38" s="810">
        <f t="shared" si="0"/>
        <v>1.0293</v>
      </c>
      <c r="M38" s="810">
        <f t="shared" si="0"/>
        <v>1.0293</v>
      </c>
      <c r="N38" s="810">
        <f t="shared" si="0"/>
        <v>1.0293</v>
      </c>
      <c r="O38" s="810">
        <f t="shared" si="0"/>
        <v>1.0293</v>
      </c>
      <c r="P38" s="810">
        <f t="shared" si="0"/>
        <v>1.0293</v>
      </c>
      <c r="Q38" s="810">
        <f t="shared" si="0"/>
        <v>1.0293</v>
      </c>
      <c r="R38" s="810">
        <f t="shared" si="0"/>
        <v>1.0293</v>
      </c>
      <c r="S38" s="810">
        <f t="shared" si="0"/>
        <v>1.0293</v>
      </c>
      <c r="T38" s="810">
        <f t="shared" si="0"/>
        <v>1.0293</v>
      </c>
      <c r="U38" s="810">
        <f t="shared" si="0"/>
        <v>1.0293</v>
      </c>
      <c r="V38" s="810">
        <f t="shared" si="0"/>
        <v>1.0293</v>
      </c>
      <c r="W38" s="810">
        <f t="shared" si="0"/>
        <v>1.0293</v>
      </c>
      <c r="X38" s="810">
        <f t="shared" si="0"/>
        <v>1.0293</v>
      </c>
      <c r="Y38" s="810">
        <f t="shared" si="0"/>
        <v>1.0293</v>
      </c>
      <c r="Z38" s="810">
        <f t="shared" si="0"/>
        <v>1.0293</v>
      </c>
      <c r="AA38" s="810">
        <f t="shared" si="0"/>
        <v>1.0293</v>
      </c>
      <c r="AB38" s="810">
        <f t="shared" si="0"/>
        <v>1.0293</v>
      </c>
      <c r="AC38" s="810">
        <f t="shared" si="0"/>
        <v>1.0293</v>
      </c>
      <c r="AD38" s="810">
        <f t="shared" si="0"/>
        <v>1.0293</v>
      </c>
      <c r="AE38" s="810">
        <f t="shared" si="0"/>
        <v>1.0293</v>
      </c>
      <c r="AF38" s="810">
        <f t="shared" si="0"/>
        <v>1.0293</v>
      </c>
      <c r="AG38">
        <f aca="true" t="shared" si="1" ref="AG38:BV38">$D$36/1000*1.41*$D$32*AG32*365/1000000+$D$37/1000*1.41*$D$33*AG33*365/1000000</f>
        <v>0</v>
      </c>
      <c r="AH38">
        <f t="shared" si="1"/>
        <v>0</v>
      </c>
      <c r="AI38">
        <f t="shared" si="1"/>
        <v>0</v>
      </c>
      <c r="AJ38">
        <f t="shared" si="1"/>
        <v>0</v>
      </c>
      <c r="AK38">
        <f t="shared" si="1"/>
        <v>0</v>
      </c>
      <c r="AL38">
        <f t="shared" si="1"/>
        <v>0</v>
      </c>
      <c r="AM38">
        <f t="shared" si="1"/>
        <v>0</v>
      </c>
      <c r="AN38">
        <f t="shared" si="1"/>
        <v>0</v>
      </c>
      <c r="AO38">
        <f t="shared" si="1"/>
        <v>0</v>
      </c>
      <c r="AP38">
        <f t="shared" si="1"/>
        <v>0</v>
      </c>
      <c r="AQ38">
        <f t="shared" si="1"/>
        <v>0</v>
      </c>
      <c r="AR38">
        <f t="shared" si="1"/>
        <v>0</v>
      </c>
      <c r="AS38">
        <f t="shared" si="1"/>
        <v>0</v>
      </c>
      <c r="AT38">
        <f t="shared" si="1"/>
        <v>0</v>
      </c>
      <c r="AU38">
        <f t="shared" si="1"/>
        <v>0</v>
      </c>
      <c r="AV38">
        <f t="shared" si="1"/>
        <v>0</v>
      </c>
      <c r="AW38">
        <f t="shared" si="1"/>
        <v>0</v>
      </c>
      <c r="AX38">
        <f t="shared" si="1"/>
        <v>0</v>
      </c>
      <c r="AY38">
        <f t="shared" si="1"/>
        <v>0</v>
      </c>
      <c r="AZ38">
        <f t="shared" si="1"/>
        <v>0</v>
      </c>
      <c r="BA38">
        <f t="shared" si="1"/>
        <v>0</v>
      </c>
      <c r="BB38">
        <f t="shared" si="1"/>
        <v>0</v>
      </c>
      <c r="BC38">
        <f t="shared" si="1"/>
        <v>0</v>
      </c>
      <c r="BD38">
        <f t="shared" si="1"/>
        <v>0</v>
      </c>
      <c r="BE38">
        <f t="shared" si="1"/>
        <v>0</v>
      </c>
      <c r="BF38">
        <f t="shared" si="1"/>
        <v>0</v>
      </c>
      <c r="BG38">
        <f t="shared" si="1"/>
        <v>0</v>
      </c>
      <c r="BH38">
        <f t="shared" si="1"/>
        <v>0</v>
      </c>
      <c r="BI38">
        <f t="shared" si="1"/>
        <v>0</v>
      </c>
      <c r="BJ38">
        <f t="shared" si="1"/>
        <v>0</v>
      </c>
      <c r="BK38">
        <f t="shared" si="1"/>
        <v>0</v>
      </c>
      <c r="BL38">
        <f t="shared" si="1"/>
        <v>0</v>
      </c>
      <c r="BM38">
        <f t="shared" si="1"/>
        <v>0</v>
      </c>
      <c r="BN38">
        <f t="shared" si="1"/>
        <v>0</v>
      </c>
      <c r="BO38">
        <f t="shared" si="1"/>
        <v>0</v>
      </c>
      <c r="BP38">
        <f t="shared" si="1"/>
        <v>0</v>
      </c>
      <c r="BQ38">
        <f t="shared" si="1"/>
        <v>0</v>
      </c>
      <c r="BR38">
        <f t="shared" si="1"/>
        <v>0</v>
      </c>
      <c r="BS38">
        <f t="shared" si="1"/>
        <v>0</v>
      </c>
      <c r="BT38">
        <f t="shared" si="1"/>
        <v>0</v>
      </c>
      <c r="BU38">
        <f t="shared" si="1"/>
        <v>0</v>
      </c>
      <c r="BV38">
        <f t="shared" si="1"/>
        <v>0</v>
      </c>
      <c r="BW38">
        <f aca="true" t="shared" si="2" ref="BW38:DT38">$D$36/1000*1.41*$D$32*BW32*365/1000000+$D$37/1000*1.41*$D$33*BW33*365/1000000</f>
        <v>0</v>
      </c>
      <c r="BX38">
        <f t="shared" si="2"/>
        <v>0</v>
      </c>
      <c r="BY38">
        <f t="shared" si="2"/>
        <v>0</v>
      </c>
      <c r="BZ38">
        <f t="shared" si="2"/>
        <v>0</v>
      </c>
      <c r="CA38">
        <f t="shared" si="2"/>
        <v>0</v>
      </c>
      <c r="CB38">
        <f t="shared" si="2"/>
        <v>0</v>
      </c>
      <c r="CC38">
        <f t="shared" si="2"/>
        <v>0</v>
      </c>
      <c r="CD38">
        <f t="shared" si="2"/>
        <v>0</v>
      </c>
      <c r="CE38">
        <f t="shared" si="2"/>
        <v>0</v>
      </c>
      <c r="CF38">
        <f t="shared" si="2"/>
        <v>0</v>
      </c>
      <c r="CG38">
        <f t="shared" si="2"/>
        <v>0</v>
      </c>
      <c r="CH38">
        <f t="shared" si="2"/>
        <v>0</v>
      </c>
      <c r="CI38">
        <f t="shared" si="2"/>
        <v>0</v>
      </c>
      <c r="CJ38">
        <f t="shared" si="2"/>
        <v>0</v>
      </c>
      <c r="CK38">
        <f t="shared" si="2"/>
        <v>0</v>
      </c>
      <c r="CL38">
        <f t="shared" si="2"/>
        <v>0</v>
      </c>
      <c r="CM38">
        <f t="shared" si="2"/>
        <v>0</v>
      </c>
      <c r="CN38">
        <f t="shared" si="2"/>
        <v>0</v>
      </c>
      <c r="CO38">
        <f t="shared" si="2"/>
        <v>0</v>
      </c>
      <c r="CP38">
        <f t="shared" si="2"/>
        <v>0</v>
      </c>
      <c r="CQ38">
        <f t="shared" si="2"/>
        <v>0</v>
      </c>
      <c r="CR38">
        <f t="shared" si="2"/>
        <v>0</v>
      </c>
      <c r="CS38">
        <f t="shared" si="2"/>
        <v>0</v>
      </c>
      <c r="CT38">
        <f t="shared" si="2"/>
        <v>0</v>
      </c>
      <c r="CU38">
        <f t="shared" si="2"/>
        <v>0</v>
      </c>
      <c r="CV38">
        <f t="shared" si="2"/>
        <v>0</v>
      </c>
      <c r="CW38">
        <f t="shared" si="2"/>
        <v>0</v>
      </c>
      <c r="CX38">
        <f t="shared" si="2"/>
        <v>0</v>
      </c>
      <c r="CY38">
        <f t="shared" si="2"/>
        <v>0</v>
      </c>
      <c r="CZ38">
        <f t="shared" si="2"/>
        <v>0</v>
      </c>
      <c r="DA38">
        <f t="shared" si="2"/>
        <v>0</v>
      </c>
      <c r="DB38">
        <f t="shared" si="2"/>
        <v>0</v>
      </c>
      <c r="DC38">
        <f t="shared" si="2"/>
        <v>0</v>
      </c>
      <c r="DD38">
        <f t="shared" si="2"/>
        <v>0</v>
      </c>
      <c r="DE38">
        <f t="shared" si="2"/>
        <v>0</v>
      </c>
      <c r="DF38">
        <f t="shared" si="2"/>
        <v>0</v>
      </c>
      <c r="DG38">
        <f t="shared" si="2"/>
        <v>0</v>
      </c>
      <c r="DH38">
        <f t="shared" si="2"/>
        <v>0</v>
      </c>
      <c r="DI38">
        <f t="shared" si="2"/>
        <v>0</v>
      </c>
      <c r="DJ38">
        <f t="shared" si="2"/>
        <v>0</v>
      </c>
      <c r="DK38">
        <f t="shared" si="2"/>
        <v>0</v>
      </c>
      <c r="DL38">
        <f t="shared" si="2"/>
        <v>0</v>
      </c>
      <c r="DM38">
        <f t="shared" si="2"/>
        <v>0</v>
      </c>
      <c r="DN38">
        <f t="shared" si="2"/>
        <v>0</v>
      </c>
      <c r="DO38">
        <f t="shared" si="2"/>
        <v>0</v>
      </c>
      <c r="DP38">
        <f t="shared" si="2"/>
        <v>0</v>
      </c>
      <c r="DQ38">
        <f t="shared" si="2"/>
        <v>0</v>
      </c>
      <c r="DR38">
        <f t="shared" si="2"/>
        <v>0</v>
      </c>
      <c r="DS38">
        <f t="shared" si="2"/>
        <v>0</v>
      </c>
      <c r="DT38">
        <f t="shared" si="2"/>
        <v>0</v>
      </c>
    </row>
    <row r="39" spans="1:32" ht="13.5" thickBot="1">
      <c r="A39" s="753" t="s">
        <v>79</v>
      </c>
      <c r="B39" s="766"/>
      <c r="C39" s="767"/>
      <c r="D39" s="778">
        <f>10%/(1-14%)</f>
        <v>0.11627906976744187</v>
      </c>
      <c r="E39" s="749" t="s">
        <v>80</v>
      </c>
      <c r="F39" s="811" t="s">
        <v>134</v>
      </c>
      <c r="G39" s="755"/>
      <c r="H39" s="755"/>
      <c r="I39" s="755"/>
      <c r="J39" s="755"/>
      <c r="K39" s="769"/>
      <c r="L39" s="769"/>
      <c r="M39" s="769"/>
      <c r="N39" s="769"/>
      <c r="O39" s="769"/>
      <c r="P39" s="769"/>
      <c r="Q39" s="769"/>
      <c r="R39" s="769"/>
      <c r="S39" s="769"/>
      <c r="T39" s="769"/>
      <c r="U39" s="769"/>
      <c r="V39" s="769"/>
      <c r="W39" s="769"/>
      <c r="X39" s="769"/>
      <c r="Y39" s="769"/>
      <c r="Z39" s="769"/>
      <c r="AA39" s="769"/>
      <c r="AB39" s="769"/>
      <c r="AC39" s="769"/>
      <c r="AD39" s="769"/>
      <c r="AE39" s="769"/>
      <c r="AF39" s="769"/>
    </row>
    <row r="40" spans="1:32" ht="13.5" thickBot="1">
      <c r="A40" s="753"/>
      <c r="B40" s="766"/>
      <c r="C40" s="767"/>
      <c r="D40" s="797"/>
      <c r="E40" s="749"/>
      <c r="F40" s="812" t="s">
        <v>109</v>
      </c>
      <c r="G40" s="755"/>
      <c r="H40" s="755"/>
      <c r="I40" s="755"/>
      <c r="J40" s="755"/>
      <c r="K40" s="769"/>
      <c r="L40" s="769"/>
      <c r="M40" s="769"/>
      <c r="N40" s="769"/>
      <c r="O40" s="769"/>
      <c r="P40" s="769"/>
      <c r="Q40" s="769"/>
      <c r="R40" s="769"/>
      <c r="S40" s="769"/>
      <c r="T40" s="769"/>
      <c r="U40" s="769"/>
      <c r="V40" s="769"/>
      <c r="W40" s="769"/>
      <c r="X40" s="769"/>
      <c r="Y40" s="769"/>
      <c r="Z40" s="769"/>
      <c r="AA40" s="769"/>
      <c r="AB40" s="769"/>
      <c r="AC40" s="769"/>
      <c r="AD40" s="769"/>
      <c r="AE40" s="769"/>
      <c r="AF40" s="769"/>
    </row>
    <row r="41" spans="1:32" ht="13.5" thickBot="1">
      <c r="A41" s="770" t="s">
        <v>33</v>
      </c>
      <c r="B41" s="813"/>
      <c r="C41" s="767"/>
      <c r="D41" s="778">
        <v>0.1</v>
      </c>
      <c r="E41" s="814"/>
      <c r="F41" s="815" t="s">
        <v>135</v>
      </c>
      <c r="G41" s="808"/>
      <c r="H41" s="808"/>
      <c r="I41" s="808"/>
      <c r="J41" s="808"/>
      <c r="K41" s="816"/>
      <c r="L41" s="816"/>
      <c r="M41" s="816"/>
      <c r="N41" s="816"/>
      <c r="O41" s="816"/>
      <c r="P41" s="816"/>
      <c r="Q41" s="816"/>
      <c r="R41" s="816"/>
      <c r="S41" s="816"/>
      <c r="T41" s="816"/>
      <c r="U41" s="816"/>
      <c r="V41" s="816"/>
      <c r="W41" s="816"/>
      <c r="X41" s="816"/>
      <c r="Y41" s="816"/>
      <c r="Z41" s="816"/>
      <c r="AA41" s="816"/>
      <c r="AB41" s="816"/>
      <c r="AC41" s="816"/>
      <c r="AD41" s="816"/>
      <c r="AE41" s="816"/>
      <c r="AF41" s="816"/>
    </row>
    <row r="42" spans="1:32" ht="13.5" thickBot="1">
      <c r="A42" s="770" t="s">
        <v>93</v>
      </c>
      <c r="B42" s="817"/>
      <c r="C42" s="744"/>
      <c r="D42" s="818">
        <f>J42</f>
        <v>0.9999999999999997</v>
      </c>
      <c r="E42" s="752"/>
      <c r="F42" s="744"/>
      <c r="G42" s="744"/>
      <c r="H42" s="744"/>
      <c r="I42" s="743" t="str">
        <f>IF(J42=100%,"OK","ERROR")</f>
        <v>OK</v>
      </c>
      <c r="J42" s="798">
        <f>SUM(K42:AF42)</f>
        <v>0.9999999999999997</v>
      </c>
      <c r="K42" s="773">
        <f>1/22</f>
        <v>0.045454545454545456</v>
      </c>
      <c r="L42" s="760">
        <f aca="true" t="shared" si="3" ref="L42:AF42">1/22</f>
        <v>0.045454545454545456</v>
      </c>
      <c r="M42" s="760">
        <f t="shared" si="3"/>
        <v>0.045454545454545456</v>
      </c>
      <c r="N42" s="760">
        <f t="shared" si="3"/>
        <v>0.045454545454545456</v>
      </c>
      <c r="O42" s="760">
        <f t="shared" si="3"/>
        <v>0.045454545454545456</v>
      </c>
      <c r="P42" s="760">
        <f t="shared" si="3"/>
        <v>0.045454545454545456</v>
      </c>
      <c r="Q42" s="760">
        <f t="shared" si="3"/>
        <v>0.045454545454545456</v>
      </c>
      <c r="R42" s="760">
        <f t="shared" si="3"/>
        <v>0.045454545454545456</v>
      </c>
      <c r="S42" s="760">
        <f t="shared" si="3"/>
        <v>0.045454545454545456</v>
      </c>
      <c r="T42" s="760">
        <f t="shared" si="3"/>
        <v>0.045454545454545456</v>
      </c>
      <c r="U42" s="760">
        <f t="shared" si="3"/>
        <v>0.045454545454545456</v>
      </c>
      <c r="V42" s="760">
        <f t="shared" si="3"/>
        <v>0.045454545454545456</v>
      </c>
      <c r="W42" s="760">
        <f t="shared" si="3"/>
        <v>0.045454545454545456</v>
      </c>
      <c r="X42" s="760">
        <f t="shared" si="3"/>
        <v>0.045454545454545456</v>
      </c>
      <c r="Y42" s="760">
        <f t="shared" si="3"/>
        <v>0.045454545454545456</v>
      </c>
      <c r="Z42" s="760">
        <f t="shared" si="3"/>
        <v>0.045454545454545456</v>
      </c>
      <c r="AA42" s="760">
        <f t="shared" si="3"/>
        <v>0.045454545454545456</v>
      </c>
      <c r="AB42" s="760">
        <f t="shared" si="3"/>
        <v>0.045454545454545456</v>
      </c>
      <c r="AC42" s="760">
        <f t="shared" si="3"/>
        <v>0.045454545454545456</v>
      </c>
      <c r="AD42" s="760">
        <f t="shared" si="3"/>
        <v>0.045454545454545456</v>
      </c>
      <c r="AE42" s="760">
        <f t="shared" si="3"/>
        <v>0.045454545454545456</v>
      </c>
      <c r="AF42" s="761">
        <f t="shared" si="3"/>
        <v>0.045454545454545456</v>
      </c>
    </row>
    <row r="43" spans="1:32" ht="13.5" thickBot="1">
      <c r="A43" s="819" t="s">
        <v>94</v>
      </c>
      <c r="B43" s="820"/>
      <c r="C43" s="821"/>
      <c r="D43" s="822">
        <f>J43</f>
        <v>0.5454545454545451</v>
      </c>
      <c r="E43" s="823" t="s">
        <v>54</v>
      </c>
      <c r="F43" s="824" t="s">
        <v>109</v>
      </c>
      <c r="G43" s="825"/>
      <c r="H43" s="825"/>
      <c r="I43" s="825"/>
      <c r="J43" s="826">
        <f>AVERAGE(K43:AF43)</f>
        <v>0.5454545454545451</v>
      </c>
      <c r="K43" s="827">
        <f aca="true" t="shared" si="4" ref="K43:AF43">$D$14*$D$41*K42</f>
        <v>0.5454545454545454</v>
      </c>
      <c r="L43" s="828">
        <f t="shared" si="4"/>
        <v>0.5454545454545454</v>
      </c>
      <c r="M43" s="828">
        <f t="shared" si="4"/>
        <v>0.5454545454545454</v>
      </c>
      <c r="N43" s="828">
        <f t="shared" si="4"/>
        <v>0.5454545454545454</v>
      </c>
      <c r="O43" s="828">
        <f t="shared" si="4"/>
        <v>0.5454545454545454</v>
      </c>
      <c r="P43" s="828">
        <f t="shared" si="4"/>
        <v>0.5454545454545454</v>
      </c>
      <c r="Q43" s="828">
        <f t="shared" si="4"/>
        <v>0.5454545454545454</v>
      </c>
      <c r="R43" s="828">
        <f t="shared" si="4"/>
        <v>0.5454545454545454</v>
      </c>
      <c r="S43" s="828">
        <f t="shared" si="4"/>
        <v>0.5454545454545454</v>
      </c>
      <c r="T43" s="828">
        <f t="shared" si="4"/>
        <v>0.5454545454545454</v>
      </c>
      <c r="U43" s="828">
        <f t="shared" si="4"/>
        <v>0.5454545454545454</v>
      </c>
      <c r="V43" s="828">
        <f t="shared" si="4"/>
        <v>0.5454545454545454</v>
      </c>
      <c r="W43" s="828">
        <f t="shared" si="4"/>
        <v>0.5454545454545454</v>
      </c>
      <c r="X43" s="828">
        <f t="shared" si="4"/>
        <v>0.5454545454545454</v>
      </c>
      <c r="Y43" s="828">
        <f t="shared" si="4"/>
        <v>0.5454545454545454</v>
      </c>
      <c r="Z43" s="828">
        <f t="shared" si="4"/>
        <v>0.5454545454545454</v>
      </c>
      <c r="AA43" s="828">
        <f t="shared" si="4"/>
        <v>0.5454545454545454</v>
      </c>
      <c r="AB43" s="828">
        <f t="shared" si="4"/>
        <v>0.5454545454545454</v>
      </c>
      <c r="AC43" s="828">
        <f t="shared" si="4"/>
        <v>0.5454545454545454</v>
      </c>
      <c r="AD43" s="828">
        <f t="shared" si="4"/>
        <v>0.5454545454545454</v>
      </c>
      <c r="AE43" s="828">
        <f t="shared" si="4"/>
        <v>0.5454545454545454</v>
      </c>
      <c r="AF43" s="829">
        <f t="shared" si="4"/>
        <v>0.5454545454545454</v>
      </c>
    </row>
    <row r="44" spans="1:32" ht="13.5" thickBot="1">
      <c r="A44" s="830"/>
      <c r="B44" s="825"/>
      <c r="C44" s="831"/>
      <c r="D44" s="832"/>
      <c r="E44" s="823"/>
      <c r="F44" s="833" t="s">
        <v>109</v>
      </c>
      <c r="G44" s="825"/>
      <c r="H44" s="825"/>
      <c r="I44" s="825"/>
      <c r="J44" s="834"/>
      <c r="K44" s="835"/>
      <c r="L44" s="835"/>
      <c r="M44" s="835"/>
      <c r="N44" s="835"/>
      <c r="O44" s="835"/>
      <c r="P44" s="835"/>
      <c r="Q44" s="835"/>
      <c r="R44" s="835"/>
      <c r="S44" s="835"/>
      <c r="T44" s="835"/>
      <c r="U44" s="835"/>
      <c r="V44" s="835"/>
      <c r="W44" s="835"/>
      <c r="X44" s="835"/>
      <c r="Y44" s="835"/>
      <c r="Z44" s="835"/>
      <c r="AA44" s="835"/>
      <c r="AB44" s="835"/>
      <c r="AC44" s="835"/>
      <c r="AD44" s="835"/>
      <c r="AE44" s="835"/>
      <c r="AF44" s="835"/>
    </row>
    <row r="45" spans="1:32" ht="13.5" thickBot="1">
      <c r="A45" s="753" t="s">
        <v>64</v>
      </c>
      <c r="B45" s="766"/>
      <c r="C45" s="767"/>
      <c r="D45" s="778">
        <v>0.14</v>
      </c>
      <c r="E45" s="749"/>
      <c r="F45" s="812" t="s">
        <v>139</v>
      </c>
      <c r="G45" s="755"/>
      <c r="H45" s="755"/>
      <c r="I45" s="755"/>
      <c r="J45" s="755"/>
      <c r="K45" s="769"/>
      <c r="L45" s="769"/>
      <c r="M45" s="769"/>
      <c r="N45" s="769"/>
      <c r="O45" s="769"/>
      <c r="P45" s="769"/>
      <c r="Q45" s="769"/>
      <c r="R45" s="769"/>
      <c r="S45" s="769"/>
      <c r="T45" s="769"/>
      <c r="U45" s="769"/>
      <c r="V45" s="769"/>
      <c r="W45" s="769"/>
      <c r="X45" s="769"/>
      <c r="Y45" s="769"/>
      <c r="Z45" s="769"/>
      <c r="AA45" s="769"/>
      <c r="AB45" s="769"/>
      <c r="AC45" s="769"/>
      <c r="AD45" s="769"/>
      <c r="AE45" s="769"/>
      <c r="AF45" s="769"/>
    </row>
    <row r="46" spans="1:32" ht="13.5" thickBot="1">
      <c r="A46" s="770"/>
      <c r="B46" s="746"/>
      <c r="C46" s="747"/>
      <c r="D46" s="797"/>
      <c r="E46" s="752"/>
      <c r="F46" s="743"/>
      <c r="G46" s="744" t="s">
        <v>109</v>
      </c>
      <c r="H46" s="744"/>
      <c r="I46" s="744"/>
      <c r="J46" s="744"/>
      <c r="K46" s="743"/>
      <c r="L46" s="743"/>
      <c r="M46" s="743"/>
      <c r="N46" s="743"/>
      <c r="O46" s="743"/>
      <c r="P46" s="743"/>
      <c r="Q46" s="743"/>
      <c r="R46" s="743"/>
      <c r="S46" s="743"/>
      <c r="T46" s="743"/>
      <c r="U46" s="743"/>
      <c r="V46" s="743"/>
      <c r="W46" s="743"/>
      <c r="X46" s="743"/>
      <c r="Y46" s="743"/>
      <c r="Z46" s="743"/>
      <c r="AA46" s="743"/>
      <c r="AB46" s="743"/>
      <c r="AC46" s="743"/>
      <c r="AD46" s="743"/>
      <c r="AE46" s="743"/>
      <c r="AF46" s="743"/>
    </row>
    <row r="47" spans="1:32" ht="13.5" thickBot="1">
      <c r="A47" s="753" t="s">
        <v>97</v>
      </c>
      <c r="B47" s="766"/>
      <c r="C47" s="767"/>
      <c r="D47" s="836">
        <f>(((($D$35+$D$38)/1.41*1000000*1000)/($D$32*365))*(1+$D$39))+(($D$43/1.41*1000000*1000)/($D$32*365))</f>
        <v>54.41967683039171</v>
      </c>
      <c r="E47" s="749" t="s">
        <v>131</v>
      </c>
      <c r="F47" s="769"/>
      <c r="G47" s="755"/>
      <c r="H47" s="755"/>
      <c r="I47" s="755"/>
      <c r="J47" s="755"/>
      <c r="K47" s="769"/>
      <c r="L47" s="769"/>
      <c r="M47" s="769"/>
      <c r="N47" s="769"/>
      <c r="O47" s="769"/>
      <c r="P47" s="769"/>
      <c r="Q47" s="769"/>
      <c r="R47" s="769"/>
      <c r="S47" s="769"/>
      <c r="T47" s="769"/>
      <c r="U47" s="769"/>
      <c r="V47" s="769"/>
      <c r="W47" s="769"/>
      <c r="X47" s="769"/>
      <c r="Y47" s="769"/>
      <c r="Z47" s="769"/>
      <c r="AA47" s="769"/>
      <c r="AB47" s="769"/>
      <c r="AC47" s="769"/>
      <c r="AD47" s="769"/>
      <c r="AE47" s="769"/>
      <c r="AF47" s="769"/>
    </row>
    <row r="48" spans="1:32" ht="13.5" thickBot="1">
      <c r="A48" s="837"/>
      <c r="B48" s="787"/>
      <c r="C48" s="788"/>
      <c r="D48" s="754"/>
      <c r="E48" s="838"/>
      <c r="F48" s="808"/>
      <c r="G48" s="744"/>
      <c r="H48" s="744"/>
      <c r="I48" s="744"/>
      <c r="J48" s="744"/>
      <c r="K48" s="744"/>
      <c r="L48" s="744"/>
      <c r="M48" s="744"/>
      <c r="N48" s="744"/>
      <c r="O48" s="744"/>
      <c r="P48" s="744"/>
      <c r="Q48" s="744"/>
      <c r="R48" s="744"/>
      <c r="S48" s="744"/>
      <c r="T48" s="744"/>
      <c r="U48" s="744"/>
      <c r="V48" s="744"/>
      <c r="W48" s="744"/>
      <c r="X48" s="744"/>
      <c r="Y48" s="744"/>
      <c r="Z48" s="744"/>
      <c r="AA48" s="744"/>
      <c r="AB48" s="744"/>
      <c r="AC48" s="744"/>
      <c r="AD48" s="744"/>
      <c r="AE48" s="744"/>
      <c r="AF48" s="744"/>
    </row>
    <row r="49" spans="1:32" ht="13.5" thickBot="1">
      <c r="A49" s="839"/>
      <c r="B49" s="746"/>
      <c r="C49" s="747"/>
      <c r="D49" s="794"/>
      <c r="E49" s="808"/>
      <c r="F49" s="808"/>
      <c r="G49" s="744"/>
      <c r="H49" s="744"/>
      <c r="I49" s="744"/>
      <c r="J49" s="744"/>
      <c r="K49" s="744"/>
      <c r="L49" s="744"/>
      <c r="M49" s="744"/>
      <c r="N49" s="744"/>
      <c r="O49" s="744"/>
      <c r="P49" s="744"/>
      <c r="Q49" s="744"/>
      <c r="R49" s="744"/>
      <c r="S49" s="744"/>
      <c r="T49" s="744"/>
      <c r="U49" s="744"/>
      <c r="V49" s="744"/>
      <c r="W49" s="744"/>
      <c r="X49" s="744"/>
      <c r="Y49" s="744"/>
      <c r="Z49" s="744"/>
      <c r="AA49" s="744"/>
      <c r="AB49" s="744"/>
      <c r="AC49" s="744"/>
      <c r="AD49" s="744"/>
      <c r="AE49" s="744"/>
      <c r="AF49" s="744"/>
    </row>
    <row r="50" spans="1:32" ht="12.75">
      <c r="A50" s="738"/>
      <c r="B50" s="739"/>
      <c r="C50" s="740"/>
      <c r="D50" s="741"/>
      <c r="E50" s="840"/>
      <c r="F50" s="808"/>
      <c r="G50" s="744"/>
      <c r="H50" s="744"/>
      <c r="I50" s="744"/>
      <c r="J50" s="744"/>
      <c r="K50" s="744"/>
      <c r="L50" s="744"/>
      <c r="M50" s="744"/>
      <c r="N50" s="744"/>
      <c r="O50" s="744"/>
      <c r="P50" s="744"/>
      <c r="Q50" s="744"/>
      <c r="R50" s="744"/>
      <c r="S50" s="744"/>
      <c r="T50" s="744"/>
      <c r="U50" s="744"/>
      <c r="V50" s="744"/>
      <c r="W50" s="744"/>
      <c r="X50" s="744"/>
      <c r="Y50" s="744"/>
      <c r="Z50" s="744"/>
      <c r="AA50" s="744"/>
      <c r="AB50" s="744"/>
      <c r="AC50" s="744"/>
      <c r="AD50" s="744"/>
      <c r="AE50" s="744"/>
      <c r="AF50" s="744"/>
    </row>
    <row r="51" spans="1:32" ht="12.75">
      <c r="A51" s="795" t="s">
        <v>87</v>
      </c>
      <c r="B51" s="746"/>
      <c r="C51" s="747"/>
      <c r="D51" s="794"/>
      <c r="E51" s="841"/>
      <c r="F51" s="808"/>
      <c r="G51" s="744"/>
      <c r="H51" s="744"/>
      <c r="I51" s="744"/>
      <c r="J51" s="744"/>
      <c r="K51" s="744"/>
      <c r="L51" s="744"/>
      <c r="M51" s="744"/>
      <c r="N51" s="744"/>
      <c r="O51" s="744"/>
      <c r="P51" s="744"/>
      <c r="Q51" s="744"/>
      <c r="R51" s="744"/>
      <c r="S51" s="744"/>
      <c r="T51" s="744"/>
      <c r="U51" s="744"/>
      <c r="V51" s="744"/>
      <c r="W51" s="744"/>
      <c r="X51" s="744"/>
      <c r="Y51" s="744"/>
      <c r="Z51" s="744"/>
      <c r="AA51" s="744"/>
      <c r="AB51" s="744"/>
      <c r="AC51" s="744"/>
      <c r="AD51" s="744"/>
      <c r="AE51" s="744"/>
      <c r="AF51" s="744"/>
    </row>
    <row r="52" spans="1:32" ht="13.5" thickBot="1">
      <c r="A52" s="745"/>
      <c r="B52" s="746"/>
      <c r="C52" s="747"/>
      <c r="D52" s="794"/>
      <c r="E52" s="841"/>
      <c r="F52" s="808"/>
      <c r="G52" s="744"/>
      <c r="H52" s="744"/>
      <c r="I52" s="744"/>
      <c r="J52" s="744"/>
      <c r="K52" s="744"/>
      <c r="L52" s="744"/>
      <c r="M52" s="744"/>
      <c r="N52" s="744"/>
      <c r="O52" s="744"/>
      <c r="P52" s="744"/>
      <c r="Q52" s="744"/>
      <c r="R52" s="744"/>
      <c r="S52" s="744"/>
      <c r="T52" s="744"/>
      <c r="U52" s="744"/>
      <c r="V52" s="744"/>
      <c r="W52" s="744"/>
      <c r="X52" s="744"/>
      <c r="Y52" s="744"/>
      <c r="Z52" s="744"/>
      <c r="AA52" s="744"/>
      <c r="AB52" s="744"/>
      <c r="AC52" s="744"/>
      <c r="AD52" s="744"/>
      <c r="AE52" s="744"/>
      <c r="AF52" s="744"/>
    </row>
    <row r="53" spans="1:32" ht="13.5" thickBot="1">
      <c r="A53" s="753" t="s">
        <v>76</v>
      </c>
      <c r="B53" s="746"/>
      <c r="C53" s="747"/>
      <c r="D53" s="842">
        <f>D14+D23</f>
        <v>127.8336</v>
      </c>
      <c r="E53" s="749" t="s">
        <v>29</v>
      </c>
      <c r="F53" s="743"/>
      <c r="G53" s="744"/>
      <c r="H53" s="744"/>
      <c r="I53" s="744"/>
      <c r="J53" s="744"/>
      <c r="K53" s="743"/>
      <c r="L53" s="743"/>
      <c r="M53" s="743"/>
      <c r="N53" s="743"/>
      <c r="O53" s="743"/>
      <c r="P53" s="743"/>
      <c r="Q53" s="743"/>
      <c r="R53" s="743"/>
      <c r="S53" s="743"/>
      <c r="T53" s="743"/>
      <c r="U53" s="743"/>
      <c r="V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</row>
    <row r="54" spans="1:32" ht="13.5" thickBot="1">
      <c r="A54" s="753" t="s">
        <v>45</v>
      </c>
      <c r="B54" s="766"/>
      <c r="C54" s="767"/>
      <c r="D54" s="843">
        <f>D18/(D24+D18)</f>
        <v>0.1877440672874737</v>
      </c>
      <c r="E54" s="752"/>
      <c r="F54" s="743"/>
      <c r="G54" s="744"/>
      <c r="H54" s="744"/>
      <c r="I54" s="744"/>
      <c r="J54" s="744"/>
      <c r="K54" s="743"/>
      <c r="L54" s="743"/>
      <c r="M54" s="743"/>
      <c r="N54" s="743"/>
      <c r="O54" s="743"/>
      <c r="P54" s="743"/>
      <c r="Q54" s="743"/>
      <c r="R54" s="743"/>
      <c r="S54" s="743"/>
      <c r="T54" s="743"/>
      <c r="U54" s="743"/>
      <c r="V54" s="743"/>
      <c r="W54" s="743"/>
      <c r="X54" s="743"/>
      <c r="Y54" s="743"/>
      <c r="Z54" s="743"/>
      <c r="AA54" s="743"/>
      <c r="AB54" s="743"/>
      <c r="AC54" s="743"/>
      <c r="AD54" s="743"/>
      <c r="AE54" s="743"/>
      <c r="AF54" s="743"/>
    </row>
    <row r="55" spans="1:32" ht="13.5" thickBot="1">
      <c r="A55" s="753" t="s">
        <v>78</v>
      </c>
      <c r="B55" s="766"/>
      <c r="C55" s="767"/>
      <c r="D55" s="844">
        <f>-D134</f>
        <v>1.176102341533227</v>
      </c>
      <c r="E55" s="749"/>
      <c r="F55" s="769" t="s">
        <v>142</v>
      </c>
      <c r="G55" s="755"/>
      <c r="H55" s="755"/>
      <c r="I55" s="755"/>
      <c r="J55" s="755"/>
      <c r="K55" s="769"/>
      <c r="L55" s="769"/>
      <c r="M55" s="769"/>
      <c r="N55" s="769"/>
      <c r="O55" s="769"/>
      <c r="P55" s="769"/>
      <c r="Q55" s="769"/>
      <c r="R55" s="769"/>
      <c r="S55" s="769"/>
      <c r="T55" s="769"/>
      <c r="U55" s="769"/>
      <c r="V55" s="769"/>
      <c r="W55" s="769"/>
      <c r="X55" s="769"/>
      <c r="Y55" s="769"/>
      <c r="Z55" s="769"/>
      <c r="AA55" s="769"/>
      <c r="AB55" s="769"/>
      <c r="AC55" s="769"/>
      <c r="AD55" s="769"/>
      <c r="AE55" s="769"/>
      <c r="AF55" s="769"/>
    </row>
    <row r="56" spans="1:32" ht="13.5" thickBot="1">
      <c r="A56" s="753"/>
      <c r="B56" s="766"/>
      <c r="C56" s="767"/>
      <c r="D56" s="845"/>
      <c r="E56" s="749"/>
      <c r="F56" s="769"/>
      <c r="G56" s="755"/>
      <c r="H56" s="755"/>
      <c r="I56" s="755"/>
      <c r="J56" s="755"/>
      <c r="K56" s="769"/>
      <c r="L56" s="769"/>
      <c r="M56" s="769"/>
      <c r="N56" s="769"/>
      <c r="O56" s="769"/>
      <c r="P56" s="769"/>
      <c r="Q56" s="769"/>
      <c r="R56" s="769"/>
      <c r="S56" s="769"/>
      <c r="T56" s="769"/>
      <c r="U56" s="769"/>
      <c r="V56" s="769"/>
      <c r="W56" s="769"/>
      <c r="X56" s="769"/>
      <c r="Y56" s="769"/>
      <c r="Z56" s="769"/>
      <c r="AA56" s="769"/>
      <c r="AB56" s="769"/>
      <c r="AC56" s="769"/>
      <c r="AD56" s="769"/>
      <c r="AE56" s="769"/>
      <c r="AF56" s="769"/>
    </row>
    <row r="57" spans="1:32" ht="13.5" thickBot="1">
      <c r="A57" s="753" t="s">
        <v>67</v>
      </c>
      <c r="B57" s="766"/>
      <c r="C57" s="767"/>
      <c r="D57" s="846">
        <f>D132</f>
        <v>0.12167799510309174</v>
      </c>
      <c r="E57" s="847"/>
      <c r="F57" s="802" t="s">
        <v>141</v>
      </c>
      <c r="G57" s="755"/>
      <c r="H57" s="755"/>
      <c r="I57" s="755"/>
      <c r="J57" s="755"/>
      <c r="K57" s="755"/>
      <c r="L57" s="755"/>
      <c r="M57" s="755"/>
      <c r="N57" s="755"/>
      <c r="O57" s="755"/>
      <c r="P57" s="755"/>
      <c r="Q57" s="755"/>
      <c r="R57" s="755"/>
      <c r="S57" s="755"/>
      <c r="T57" s="755"/>
      <c r="U57" s="755"/>
      <c r="V57" s="755"/>
      <c r="W57" s="755"/>
      <c r="X57" s="755"/>
      <c r="Y57" s="755"/>
      <c r="Z57" s="755"/>
      <c r="AA57" s="755"/>
      <c r="AB57" s="755"/>
      <c r="AC57" s="755"/>
      <c r="AD57" s="755"/>
      <c r="AE57" s="755"/>
      <c r="AF57" s="755"/>
    </row>
    <row r="58" spans="1:32" ht="13.5" thickBot="1">
      <c r="A58" s="753" t="s">
        <v>77</v>
      </c>
      <c r="B58" s="766"/>
      <c r="C58" s="767"/>
      <c r="D58" s="836">
        <f>D135</f>
        <v>13</v>
      </c>
      <c r="E58" s="848" t="s">
        <v>41</v>
      </c>
      <c r="F58" s="802" t="s">
        <v>140</v>
      </c>
      <c r="G58" s="755"/>
      <c r="H58" s="755"/>
      <c r="I58" s="755"/>
      <c r="J58" s="755"/>
      <c r="K58" s="755"/>
      <c r="L58" s="755"/>
      <c r="M58" s="755"/>
      <c r="N58" s="755"/>
      <c r="O58" s="755"/>
      <c r="P58" s="755"/>
      <c r="Q58" s="755"/>
      <c r="R58" s="755"/>
      <c r="S58" s="755"/>
      <c r="T58" s="755"/>
      <c r="U58" s="755"/>
      <c r="V58" s="755"/>
      <c r="W58" s="755"/>
      <c r="X58" s="755"/>
      <c r="Y58" s="755"/>
      <c r="Z58" s="755"/>
      <c r="AA58" s="755"/>
      <c r="AB58" s="755"/>
      <c r="AC58" s="755"/>
      <c r="AD58" s="755"/>
      <c r="AE58" s="755"/>
      <c r="AF58" s="755"/>
    </row>
    <row r="59" spans="1:32" ht="13.5" thickBot="1">
      <c r="A59" s="753"/>
      <c r="B59" s="766"/>
      <c r="C59" s="767"/>
      <c r="D59" s="849"/>
      <c r="E59" s="848"/>
      <c r="F59" s="802"/>
      <c r="G59" s="755"/>
      <c r="H59" s="755"/>
      <c r="I59" s="755"/>
      <c r="J59" s="755"/>
      <c r="K59" s="755"/>
      <c r="L59" s="755"/>
      <c r="M59" s="755"/>
      <c r="N59" s="755"/>
      <c r="O59" s="755"/>
      <c r="P59" s="755"/>
      <c r="Q59" s="755"/>
      <c r="R59" s="755"/>
      <c r="S59" s="755"/>
      <c r="T59" s="755"/>
      <c r="U59" s="755"/>
      <c r="V59" s="755"/>
      <c r="W59" s="755"/>
      <c r="X59" s="755"/>
      <c r="Y59" s="755"/>
      <c r="Z59" s="755"/>
      <c r="AA59" s="755"/>
      <c r="AB59" s="755"/>
      <c r="AC59" s="755"/>
      <c r="AD59" s="755"/>
      <c r="AE59" s="755"/>
      <c r="AF59" s="755"/>
    </row>
    <row r="60" spans="1:32" ht="13.5" thickBot="1">
      <c r="A60" s="753" t="s">
        <v>108</v>
      </c>
      <c r="B60" s="766"/>
      <c r="C60" s="767"/>
      <c r="D60" s="850">
        <f>($D$66*1000000)/1.4109*1000/($D$32*365*$D$28)</f>
        <v>217.80098081952994</v>
      </c>
      <c r="E60" s="749" t="s">
        <v>130</v>
      </c>
      <c r="F60" s="743">
        <f>SUM(D61:D63)</f>
        <v>217.8009808195299</v>
      </c>
      <c r="G60" s="743" t="str">
        <f>IF(D60=F60,"OK","ERROR")</f>
        <v>OK</v>
      </c>
      <c r="H60" s="755"/>
      <c r="I60" s="755"/>
      <c r="J60" s="755"/>
      <c r="K60" s="769"/>
      <c r="L60" s="769"/>
      <c r="M60" s="769"/>
      <c r="N60" s="769"/>
      <c r="O60" s="769"/>
      <c r="P60" s="769"/>
      <c r="Q60" s="769"/>
      <c r="R60" s="769"/>
      <c r="S60" s="769"/>
      <c r="T60" s="769"/>
      <c r="U60" s="769"/>
      <c r="V60" s="769"/>
      <c r="W60" s="769"/>
      <c r="X60" s="769"/>
      <c r="Y60" s="769"/>
      <c r="Z60" s="769"/>
      <c r="AA60" s="769"/>
      <c r="AB60" s="769"/>
      <c r="AC60" s="769"/>
      <c r="AD60" s="769"/>
      <c r="AE60" s="769"/>
      <c r="AF60" s="769"/>
    </row>
    <row r="61" spans="1:32" ht="13.5" thickBot="1">
      <c r="A61" s="851" t="s">
        <v>102</v>
      </c>
      <c r="B61" s="766"/>
      <c r="C61" s="767"/>
      <c r="D61" s="852">
        <f>($D$68*1000000)/1.4109*1000/($D$32*365*$D$28)</f>
        <v>67.67901254836146</v>
      </c>
      <c r="E61" s="749" t="s">
        <v>130</v>
      </c>
      <c r="F61" s="769"/>
      <c r="G61" s="755"/>
      <c r="H61" s="755"/>
      <c r="I61" s="755"/>
      <c r="J61" s="755"/>
      <c r="K61" s="769"/>
      <c r="L61" s="769"/>
      <c r="M61" s="769"/>
      <c r="N61" s="769"/>
      <c r="O61" s="769"/>
      <c r="P61" s="769"/>
      <c r="Q61" s="769"/>
      <c r="R61" s="769"/>
      <c r="S61" s="769"/>
      <c r="T61" s="769"/>
      <c r="U61" s="769"/>
      <c r="V61" s="769"/>
      <c r="W61" s="769"/>
      <c r="X61" s="769"/>
      <c r="Y61" s="769"/>
      <c r="Z61" s="769"/>
      <c r="AA61" s="769"/>
      <c r="AB61" s="769"/>
      <c r="AC61" s="769"/>
      <c r="AD61" s="769"/>
      <c r="AE61" s="769"/>
      <c r="AF61" s="769"/>
    </row>
    <row r="62" spans="1:32" ht="13.5" thickBot="1">
      <c r="A62" s="851" t="s">
        <v>103</v>
      </c>
      <c r="B62" s="766"/>
      <c r="C62" s="767"/>
      <c r="D62" s="852">
        <f>($D$67*1000000)/1.4109*1000/($D$32*365*$D$28)</f>
        <v>53.38277017213517</v>
      </c>
      <c r="E62" s="749" t="s">
        <v>130</v>
      </c>
      <c r="F62" s="769"/>
      <c r="G62" s="755"/>
      <c r="H62" s="755"/>
      <c r="I62" s="755"/>
      <c r="J62" s="755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</row>
    <row r="63" spans="1:32" ht="13.5" thickBot="1">
      <c r="A63" s="851" t="s">
        <v>104</v>
      </c>
      <c r="B63" s="839"/>
      <c r="C63" s="853"/>
      <c r="D63" s="852">
        <f>($D$69*1000000)/1.4109*1000/($D$32*365*$D$28)</f>
        <v>96.73919809903329</v>
      </c>
      <c r="E63" s="749" t="s">
        <v>130</v>
      </c>
      <c r="F63" s="854"/>
      <c r="G63" s="853"/>
      <c r="H63" s="853"/>
      <c r="I63" s="853"/>
      <c r="J63" s="853"/>
      <c r="K63" s="854"/>
      <c r="L63" s="854"/>
      <c r="M63" s="854"/>
      <c r="N63" s="854"/>
      <c r="O63" s="854"/>
      <c r="P63" s="854"/>
      <c r="Q63" s="854"/>
      <c r="R63" s="854"/>
      <c r="S63" s="854"/>
      <c r="T63" s="854"/>
      <c r="U63" s="854"/>
      <c r="V63" s="854"/>
      <c r="W63" s="854"/>
      <c r="X63" s="854"/>
      <c r="Y63" s="854"/>
      <c r="Z63" s="854"/>
      <c r="AA63" s="854"/>
      <c r="AB63" s="854"/>
      <c r="AC63" s="854"/>
      <c r="AD63" s="854"/>
      <c r="AE63" s="854"/>
      <c r="AF63" s="854"/>
    </row>
    <row r="64" spans="1:32" ht="12.75">
      <c r="A64" s="753"/>
      <c r="B64" s="766"/>
      <c r="C64" s="767"/>
      <c r="D64" s="855"/>
      <c r="E64" s="848"/>
      <c r="F64" s="802"/>
      <c r="G64" s="755"/>
      <c r="H64" s="755"/>
      <c r="I64" s="755"/>
      <c r="J64" s="755"/>
      <c r="K64" s="755"/>
      <c r="L64" s="755"/>
      <c r="M64" s="755"/>
      <c r="N64" s="755"/>
      <c r="O64" s="755"/>
      <c r="P64" s="755"/>
      <c r="Q64" s="755"/>
      <c r="R64" s="755"/>
      <c r="S64" s="755"/>
      <c r="T64" s="755"/>
      <c r="U64" s="755"/>
      <c r="V64" s="755"/>
      <c r="W64" s="755"/>
      <c r="X64" s="755"/>
      <c r="Y64" s="755"/>
      <c r="Z64" s="755"/>
      <c r="AA64" s="755"/>
      <c r="AB64" s="755"/>
      <c r="AC64" s="755"/>
      <c r="AD64" s="755"/>
      <c r="AE64" s="755"/>
      <c r="AF64" s="755"/>
    </row>
    <row r="65" spans="1:32" ht="13.5" thickBot="1">
      <c r="A65" s="753" t="s">
        <v>101</v>
      </c>
      <c r="B65" s="766"/>
      <c r="C65" s="767"/>
      <c r="D65" s="856"/>
      <c r="E65" s="848"/>
      <c r="F65" s="802"/>
      <c r="G65" s="755"/>
      <c r="H65" s="755"/>
      <c r="I65" s="755"/>
      <c r="J65" s="755"/>
      <c r="K65" s="755"/>
      <c r="L65" s="755"/>
      <c r="M65" s="755"/>
      <c r="N65" s="755"/>
      <c r="O65" s="755"/>
      <c r="P65" s="755"/>
      <c r="Q65" s="755"/>
      <c r="R65" s="755"/>
      <c r="S65" s="755"/>
      <c r="T65" s="755"/>
      <c r="U65" s="755"/>
      <c r="V65" s="755"/>
      <c r="W65" s="755"/>
      <c r="X65" s="755"/>
      <c r="Y65" s="755"/>
      <c r="Z65" s="755"/>
      <c r="AA65" s="755"/>
      <c r="AB65" s="755"/>
      <c r="AC65" s="755"/>
      <c r="AD65" s="755"/>
      <c r="AE65" s="755"/>
      <c r="AF65" s="755"/>
    </row>
    <row r="66" spans="1:32" ht="13.5" thickBot="1">
      <c r="A66" s="851" t="s">
        <v>138</v>
      </c>
      <c r="B66" s="857"/>
      <c r="C66" s="767"/>
      <c r="D66" s="836">
        <f>SUM(K101:AF101)</f>
        <v>493.5164185642694</v>
      </c>
      <c r="E66" s="848" t="s">
        <v>29</v>
      </c>
      <c r="F66" s="743">
        <f>SUM(D67:D69)</f>
        <v>493.51641856426926</v>
      </c>
      <c r="G66" s="743" t="str">
        <f>IF(D66=F66,"OK","ERROR")</f>
        <v>OK</v>
      </c>
      <c r="H66" s="755"/>
      <c r="I66" s="755"/>
      <c r="J66" s="755"/>
      <c r="K66" s="755"/>
      <c r="L66" s="755"/>
      <c r="M66" s="755"/>
      <c r="N66" s="755"/>
      <c r="O66" s="755"/>
      <c r="P66" s="755"/>
      <c r="Q66" s="755"/>
      <c r="R66" s="755"/>
      <c r="S66" s="755"/>
      <c r="T66" s="755"/>
      <c r="U66" s="755"/>
      <c r="V66" s="755"/>
      <c r="W66" s="755"/>
      <c r="X66" s="755"/>
      <c r="Y66" s="755"/>
      <c r="Z66" s="755"/>
      <c r="AA66" s="755"/>
      <c r="AB66" s="755"/>
      <c r="AC66" s="755"/>
      <c r="AD66" s="755"/>
      <c r="AE66" s="755"/>
      <c r="AF66" s="755"/>
    </row>
    <row r="67" spans="1:32" ht="13.5" thickBot="1">
      <c r="A67" s="851" t="s">
        <v>73</v>
      </c>
      <c r="B67" s="857"/>
      <c r="C67" s="767"/>
      <c r="D67" s="836">
        <f>SUM(K130:AF130)</f>
        <v>120.9603072</v>
      </c>
      <c r="E67" s="848" t="s">
        <v>29</v>
      </c>
      <c r="F67" s="802"/>
      <c r="G67" s="755"/>
      <c r="H67" s="858"/>
      <c r="I67" s="755"/>
      <c r="J67" s="859"/>
      <c r="K67" s="755"/>
      <c r="L67" s="755"/>
      <c r="M67" s="755"/>
      <c r="N67" s="755"/>
      <c r="O67" s="755"/>
      <c r="P67" s="755"/>
      <c r="Q67" s="755"/>
      <c r="R67" s="755"/>
      <c r="S67" s="755"/>
      <c r="T67" s="755"/>
      <c r="U67" s="755"/>
      <c r="V67" s="755"/>
      <c r="W67" s="755"/>
      <c r="X67" s="755"/>
      <c r="Y67" s="755"/>
      <c r="Z67" s="755"/>
      <c r="AA67" s="755"/>
      <c r="AB67" s="755"/>
      <c r="AC67" s="755"/>
      <c r="AD67" s="755"/>
      <c r="AE67" s="755"/>
      <c r="AF67" s="755"/>
    </row>
    <row r="68" spans="1:32" ht="13.5" thickBot="1">
      <c r="A68" s="851" t="s">
        <v>74</v>
      </c>
      <c r="B68" s="857"/>
      <c r="C68" s="767"/>
      <c r="D68" s="836">
        <f>-SUM(K111:AF111)-SUM(K110:AF110)</f>
        <v>153.35424</v>
      </c>
      <c r="E68" s="848" t="s">
        <v>29</v>
      </c>
      <c r="F68" s="802"/>
      <c r="G68" s="755"/>
      <c r="H68" s="860"/>
      <c r="I68" s="755"/>
      <c r="J68" s="755"/>
      <c r="K68" s="755"/>
      <c r="L68" s="755"/>
      <c r="M68" s="755"/>
      <c r="N68" s="755"/>
      <c r="O68" s="755"/>
      <c r="P68" s="755"/>
      <c r="Q68" s="755"/>
      <c r="R68" s="755"/>
      <c r="S68" s="755"/>
      <c r="T68" s="755"/>
      <c r="U68" s="755"/>
      <c r="V68" s="755"/>
      <c r="W68" s="755"/>
      <c r="X68" s="755"/>
      <c r="Y68" s="755"/>
      <c r="Z68" s="755"/>
      <c r="AA68" s="755"/>
      <c r="AB68" s="755"/>
      <c r="AC68" s="755"/>
      <c r="AD68" s="755"/>
      <c r="AE68" s="755"/>
      <c r="AF68" s="755"/>
    </row>
    <row r="69" spans="1:32" ht="13.5" thickBot="1">
      <c r="A69" s="851" t="s">
        <v>95</v>
      </c>
      <c r="B69" s="857"/>
      <c r="C69" s="767"/>
      <c r="D69" s="836">
        <f>-SUM(K112:AF112)-SUM(K113:AF113)-SUM(K114:AF114)-SUM(K119:AF119)</f>
        <v>219.20187136426927</v>
      </c>
      <c r="E69" s="848" t="s">
        <v>29</v>
      </c>
      <c r="F69" s="802"/>
      <c r="G69" s="755"/>
      <c r="H69" s="82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755"/>
      <c r="Y69" s="755"/>
      <c r="Z69" s="755"/>
      <c r="AA69" s="755"/>
      <c r="AB69" s="755"/>
      <c r="AC69" s="755"/>
      <c r="AD69" s="755"/>
      <c r="AE69" s="755"/>
      <c r="AF69" s="755"/>
    </row>
    <row r="70" spans="1:32" ht="13.5" thickBot="1">
      <c r="A70" s="753"/>
      <c r="B70" s="766"/>
      <c r="C70" s="767"/>
      <c r="D70" s="861"/>
      <c r="E70" s="848"/>
      <c r="F70" s="802"/>
      <c r="G70" s="755"/>
      <c r="H70" s="755"/>
      <c r="I70" s="755"/>
      <c r="J70" s="755"/>
      <c r="K70" s="755"/>
      <c r="L70" s="755"/>
      <c r="M70" s="755"/>
      <c r="N70" s="755"/>
      <c r="O70" s="755"/>
      <c r="P70" s="755"/>
      <c r="Q70" s="755"/>
      <c r="R70" s="755"/>
      <c r="S70" s="755"/>
      <c r="T70" s="755"/>
      <c r="U70" s="755"/>
      <c r="V70" s="755"/>
      <c r="W70" s="755"/>
      <c r="X70" s="755"/>
      <c r="Y70" s="755"/>
      <c r="Z70" s="755"/>
      <c r="AA70" s="755"/>
      <c r="AB70" s="755"/>
      <c r="AC70" s="755"/>
      <c r="AD70" s="755"/>
      <c r="AE70" s="755"/>
      <c r="AF70" s="755"/>
    </row>
    <row r="71" spans="1:32" ht="13.5" thickBot="1">
      <c r="A71" s="753" t="s">
        <v>88</v>
      </c>
      <c r="B71" s="766"/>
      <c r="C71" s="767"/>
      <c r="D71" s="778">
        <v>0.1</v>
      </c>
      <c r="E71" s="749"/>
      <c r="F71" s="769"/>
      <c r="G71" s="755"/>
      <c r="H71" s="862" t="s">
        <v>109</v>
      </c>
      <c r="I71" s="755"/>
      <c r="J71" s="755"/>
      <c r="K71" s="769"/>
      <c r="L71" s="769"/>
      <c r="M71" s="769"/>
      <c r="N71" s="769"/>
      <c r="O71" s="769"/>
      <c r="P71" s="769"/>
      <c r="Q71" s="769"/>
      <c r="R71" s="769"/>
      <c r="S71" s="769"/>
      <c r="T71" s="769"/>
      <c r="U71" s="769"/>
      <c r="V71" s="769"/>
      <c r="W71" s="769"/>
      <c r="X71" s="769"/>
      <c r="Y71" s="769"/>
      <c r="Z71" s="769"/>
      <c r="AA71" s="769"/>
      <c r="AB71" s="769"/>
      <c r="AC71" s="769"/>
      <c r="AD71" s="769"/>
      <c r="AE71" s="769"/>
      <c r="AF71" s="769"/>
    </row>
    <row r="72" spans="1:32" ht="13.5" thickBot="1">
      <c r="A72" s="851" t="s">
        <v>89</v>
      </c>
      <c r="B72" s="746"/>
      <c r="C72" s="747"/>
      <c r="D72" s="863">
        <f>NPV($D$71,K101:AF101)</f>
        <v>198.01761813377593</v>
      </c>
      <c r="E72" s="752" t="s">
        <v>29</v>
      </c>
      <c r="F72" s="743">
        <f>SUM(D73:D75)</f>
        <v>198.01761813377595</v>
      </c>
      <c r="G72" s="743" t="str">
        <f>IF(D72=F72,"OK","ERROR")</f>
        <v>OK</v>
      </c>
      <c r="H72" s="744"/>
      <c r="I72" s="744"/>
      <c r="J72" s="744"/>
      <c r="K72" s="743"/>
      <c r="L72" s="743"/>
      <c r="M72" s="743"/>
      <c r="N72" s="743"/>
      <c r="O72" s="743"/>
      <c r="P72" s="743"/>
      <c r="Q72" s="743"/>
      <c r="R72" s="743"/>
      <c r="S72" s="743"/>
      <c r="T72" s="743"/>
      <c r="U72" s="743"/>
      <c r="V72" s="743"/>
      <c r="W72" s="743"/>
      <c r="X72" s="743"/>
      <c r="Y72" s="743"/>
      <c r="Z72" s="743"/>
      <c r="AA72" s="743"/>
      <c r="AB72" s="743"/>
      <c r="AC72" s="743"/>
      <c r="AD72" s="743"/>
      <c r="AE72" s="743"/>
      <c r="AF72" s="743"/>
    </row>
    <row r="73" spans="1:32" ht="13.5" thickBot="1">
      <c r="A73" s="851" t="s">
        <v>90</v>
      </c>
      <c r="B73" s="746"/>
      <c r="C73" s="747"/>
      <c r="D73" s="863">
        <f>NPV($D$71,K130:AF130)</f>
        <v>32.058795712678176</v>
      </c>
      <c r="E73" s="752" t="s">
        <v>29</v>
      </c>
      <c r="F73" s="864"/>
      <c r="G73" s="744"/>
      <c r="H73" s="744"/>
      <c r="I73" s="744"/>
      <c r="J73" s="744"/>
      <c r="K73" s="743"/>
      <c r="L73" s="743"/>
      <c r="M73" s="743"/>
      <c r="N73" s="743"/>
      <c r="O73" s="743"/>
      <c r="P73" s="743"/>
      <c r="Q73" s="743"/>
      <c r="R73" s="743"/>
      <c r="S73" s="743"/>
      <c r="T73" s="743"/>
      <c r="U73" s="743"/>
      <c r="V73" s="743"/>
      <c r="W73" s="743"/>
      <c r="X73" s="743"/>
      <c r="Y73" s="743"/>
      <c r="Z73" s="743"/>
      <c r="AA73" s="743"/>
      <c r="AB73" s="743"/>
      <c r="AC73" s="743"/>
      <c r="AD73" s="743"/>
      <c r="AE73" s="743"/>
      <c r="AF73" s="743"/>
    </row>
    <row r="74" spans="1:32" ht="13.5" thickBot="1">
      <c r="A74" s="851" t="s">
        <v>91</v>
      </c>
      <c r="B74" s="746"/>
      <c r="C74" s="747"/>
      <c r="D74" s="863">
        <f>-NPV($D$71,K111:AF111)-NPV($D$71,K110:AF110)</f>
        <v>91.91536941179471</v>
      </c>
      <c r="E74" s="752" t="s">
        <v>29</v>
      </c>
      <c r="F74" s="743"/>
      <c r="G74" s="744"/>
      <c r="H74" s="744"/>
      <c r="I74" s="744"/>
      <c r="J74" s="744"/>
      <c r="K74" s="743"/>
      <c r="L74" s="743"/>
      <c r="M74" s="743"/>
      <c r="N74" s="743"/>
      <c r="O74" s="743"/>
      <c r="P74" s="743"/>
      <c r="Q74" s="743"/>
      <c r="R74" s="743"/>
      <c r="S74" s="743"/>
      <c r="T74" s="743"/>
      <c r="U74" s="743"/>
      <c r="V74" s="743"/>
      <c r="W74" s="743"/>
      <c r="X74" s="743"/>
      <c r="Y74" s="743"/>
      <c r="Z74" s="743"/>
      <c r="AA74" s="743"/>
      <c r="AB74" s="743"/>
      <c r="AC74" s="743"/>
      <c r="AD74" s="743"/>
      <c r="AE74" s="743"/>
      <c r="AF74" s="743"/>
    </row>
    <row r="75" spans="1:32" ht="13.5" thickBot="1">
      <c r="A75" s="851" t="s">
        <v>96</v>
      </c>
      <c r="B75" s="746"/>
      <c r="C75" s="747"/>
      <c r="D75" s="863">
        <f>-NPV($D$71,K112:AF112)-NPV($D$71,K113:AF113)-NPV($D$71,K114:AF114)-NPV($D$71,K119:AF119)</f>
        <v>74.04345300930305</v>
      </c>
      <c r="E75" s="752" t="s">
        <v>29</v>
      </c>
      <c r="F75" s="743"/>
      <c r="G75" s="744"/>
      <c r="H75" s="744"/>
      <c r="I75" s="744"/>
      <c r="J75" s="744"/>
      <c r="K75" s="743"/>
      <c r="L75" s="743"/>
      <c r="M75" s="743"/>
      <c r="N75" s="743"/>
      <c r="O75" s="743"/>
      <c r="P75" s="743"/>
      <c r="Q75" s="743"/>
      <c r="R75" s="743"/>
      <c r="S75" s="743"/>
      <c r="T75" s="743"/>
      <c r="U75" s="743"/>
      <c r="V75" s="743"/>
      <c r="W75" s="743"/>
      <c r="X75" s="743"/>
      <c r="Y75" s="743"/>
      <c r="Z75" s="743"/>
      <c r="AA75" s="743"/>
      <c r="AB75" s="743"/>
      <c r="AC75" s="743"/>
      <c r="AD75" s="743"/>
      <c r="AE75" s="743"/>
      <c r="AF75" s="743"/>
    </row>
    <row r="76" spans="1:32" ht="13.5" thickBot="1">
      <c r="A76" s="865"/>
      <c r="B76" s="787"/>
      <c r="C76" s="788"/>
      <c r="D76" s="866"/>
      <c r="E76" s="790"/>
      <c r="F76" s="743"/>
      <c r="G76" s="744"/>
      <c r="H76" s="744"/>
      <c r="I76" s="744"/>
      <c r="J76" s="744"/>
      <c r="K76" s="743"/>
      <c r="L76" s="743"/>
      <c r="M76" s="743"/>
      <c r="N76" s="743"/>
      <c r="O76" s="743"/>
      <c r="P76" s="743"/>
      <c r="Q76" s="743"/>
      <c r="R76" s="743"/>
      <c r="S76" s="743"/>
      <c r="T76" s="743"/>
      <c r="U76" s="743"/>
      <c r="V76" s="743"/>
      <c r="W76" s="743"/>
      <c r="X76" s="743"/>
      <c r="Y76" s="743"/>
      <c r="Z76" s="743"/>
      <c r="AA76" s="743"/>
      <c r="AB76" s="743"/>
      <c r="AC76" s="743"/>
      <c r="AD76" s="743"/>
      <c r="AE76" s="743"/>
      <c r="AF76" s="743"/>
    </row>
    <row r="77" spans="1:32" ht="13.5" thickBot="1">
      <c r="A77" s="867"/>
      <c r="B77" s="868"/>
      <c r="C77" s="769"/>
      <c r="D77" s="769"/>
      <c r="E77" s="769"/>
      <c r="F77" s="769"/>
      <c r="G77" s="755"/>
      <c r="H77" s="755"/>
      <c r="I77" s="755"/>
      <c r="J77" s="755"/>
      <c r="K77" s="769"/>
      <c r="L77" s="769"/>
      <c r="M77" s="769"/>
      <c r="N77" s="769"/>
      <c r="O77" s="769"/>
      <c r="P77" s="769"/>
      <c r="Q77" s="769"/>
      <c r="R77" s="769"/>
      <c r="S77" s="769"/>
      <c r="T77" s="769"/>
      <c r="U77" s="769"/>
      <c r="V77" s="769"/>
      <c r="W77" s="769"/>
      <c r="X77" s="769"/>
      <c r="Y77" s="769"/>
      <c r="Z77" s="769"/>
      <c r="AA77" s="769"/>
      <c r="AB77" s="769"/>
      <c r="AC77" s="769"/>
      <c r="AD77" s="769"/>
      <c r="AE77" s="769"/>
      <c r="AF77" s="769"/>
    </row>
    <row r="78" spans="1:32" ht="12.75">
      <c r="A78" s="869"/>
      <c r="B78" s="869"/>
      <c r="C78" s="870" t="s">
        <v>4</v>
      </c>
      <c r="D78" s="871" t="s">
        <v>8</v>
      </c>
      <c r="E78" s="872" t="s">
        <v>0</v>
      </c>
      <c r="F78" s="873" t="s">
        <v>0</v>
      </c>
      <c r="G78" s="874">
        <v>2010</v>
      </c>
      <c r="H78" s="875">
        <v>2011</v>
      </c>
      <c r="I78" s="875">
        <v>2012</v>
      </c>
      <c r="J78" s="876">
        <v>2013</v>
      </c>
      <c r="K78" s="877">
        <v>2014</v>
      </c>
      <c r="L78" s="878">
        <v>2015</v>
      </c>
      <c r="M78" s="878">
        <v>2016</v>
      </c>
      <c r="N78" s="878">
        <v>2017</v>
      </c>
      <c r="O78" s="878">
        <v>2018</v>
      </c>
      <c r="P78" s="878">
        <v>2019</v>
      </c>
      <c r="Q78" s="878">
        <v>2020</v>
      </c>
      <c r="R78" s="878">
        <v>2021</v>
      </c>
      <c r="S78" s="878">
        <v>2022</v>
      </c>
      <c r="T78" s="878">
        <v>2023</v>
      </c>
      <c r="U78" s="878">
        <v>2024</v>
      </c>
      <c r="V78" s="879">
        <v>2025</v>
      </c>
      <c r="W78" s="878">
        <v>2026</v>
      </c>
      <c r="X78" s="878">
        <v>2027</v>
      </c>
      <c r="Y78" s="878">
        <v>2028</v>
      </c>
      <c r="Z78" s="878">
        <v>2029</v>
      </c>
      <c r="AA78" s="878">
        <v>2030</v>
      </c>
      <c r="AB78" s="878">
        <v>2031</v>
      </c>
      <c r="AC78" s="878">
        <v>2032</v>
      </c>
      <c r="AD78" s="878">
        <v>2033</v>
      </c>
      <c r="AE78" s="878">
        <v>2034</v>
      </c>
      <c r="AF78" s="879">
        <v>2035</v>
      </c>
    </row>
    <row r="79" spans="1:32" ht="12.75">
      <c r="A79" s="880"/>
      <c r="B79" s="880"/>
      <c r="C79" s="817" t="s">
        <v>7</v>
      </c>
      <c r="D79" s="881" t="s">
        <v>0</v>
      </c>
      <c r="E79" s="767" t="s">
        <v>22</v>
      </c>
      <c r="F79" s="814" t="s">
        <v>23</v>
      </c>
      <c r="G79" s="882">
        <v>1</v>
      </c>
      <c r="H79" s="808">
        <v>2</v>
      </c>
      <c r="I79" s="808">
        <v>3</v>
      </c>
      <c r="J79" s="841">
        <v>4</v>
      </c>
      <c r="K79" s="883">
        <v>5</v>
      </c>
      <c r="L79" s="884">
        <v>6</v>
      </c>
      <c r="M79" s="884">
        <v>7</v>
      </c>
      <c r="N79" s="884">
        <v>8</v>
      </c>
      <c r="O79" s="884">
        <v>9</v>
      </c>
      <c r="P79" s="884">
        <v>10</v>
      </c>
      <c r="Q79" s="884">
        <v>11</v>
      </c>
      <c r="R79" s="884">
        <v>12</v>
      </c>
      <c r="S79" s="884">
        <v>13</v>
      </c>
      <c r="T79" s="884">
        <v>14</v>
      </c>
      <c r="U79" s="884">
        <v>15</v>
      </c>
      <c r="V79" s="885">
        <v>16</v>
      </c>
      <c r="W79" s="884">
        <v>17</v>
      </c>
      <c r="X79" s="884">
        <v>18</v>
      </c>
      <c r="Y79" s="884">
        <v>19</v>
      </c>
      <c r="Z79" s="884">
        <v>20</v>
      </c>
      <c r="AA79" s="884">
        <v>21</v>
      </c>
      <c r="AB79" s="884">
        <v>22</v>
      </c>
      <c r="AC79" s="884">
        <v>23</v>
      </c>
      <c r="AD79" s="884">
        <v>24</v>
      </c>
      <c r="AE79" s="884">
        <v>25</v>
      </c>
      <c r="AF79" s="885">
        <v>26</v>
      </c>
    </row>
    <row r="80" spans="1:32" ht="13.5" thickBot="1">
      <c r="A80" s="880"/>
      <c r="B80" s="880"/>
      <c r="C80" s="886" t="s">
        <v>4</v>
      </c>
      <c r="D80" s="887" t="s">
        <v>21</v>
      </c>
      <c r="E80" s="888" t="s">
        <v>21</v>
      </c>
      <c r="F80" s="889" t="s">
        <v>21</v>
      </c>
      <c r="G80" s="890"/>
      <c r="H80" s="891">
        <v>0</v>
      </c>
      <c r="I80" s="891">
        <v>0</v>
      </c>
      <c r="J80" s="838">
        <v>0</v>
      </c>
      <c r="K80" s="892">
        <v>1</v>
      </c>
      <c r="L80" s="816">
        <v>2</v>
      </c>
      <c r="M80" s="816">
        <v>3</v>
      </c>
      <c r="N80" s="816">
        <v>4</v>
      </c>
      <c r="O80" s="816">
        <v>5</v>
      </c>
      <c r="P80" s="816">
        <v>6</v>
      </c>
      <c r="Q80" s="816">
        <v>7</v>
      </c>
      <c r="R80" s="816">
        <v>8</v>
      </c>
      <c r="S80" s="816">
        <v>9</v>
      </c>
      <c r="T80" s="816">
        <v>10</v>
      </c>
      <c r="U80" s="816">
        <v>11</v>
      </c>
      <c r="V80" s="893">
        <v>12</v>
      </c>
      <c r="W80" s="816">
        <v>13</v>
      </c>
      <c r="X80" s="816">
        <v>14</v>
      </c>
      <c r="Y80" s="816">
        <v>15</v>
      </c>
      <c r="Z80" s="816">
        <v>16</v>
      </c>
      <c r="AA80" s="816">
        <v>17</v>
      </c>
      <c r="AB80" s="816">
        <v>18</v>
      </c>
      <c r="AC80" s="816">
        <v>19</v>
      </c>
      <c r="AD80" s="816">
        <v>20</v>
      </c>
      <c r="AE80" s="816">
        <v>21</v>
      </c>
      <c r="AF80" s="893">
        <v>22</v>
      </c>
    </row>
    <row r="81" spans="1:32" ht="13.5" thickBot="1">
      <c r="A81" s="894"/>
      <c r="B81" s="895"/>
      <c r="C81" s="870"/>
      <c r="D81" s="896"/>
      <c r="E81" s="896"/>
      <c r="F81" s="897"/>
      <c r="G81" s="898"/>
      <c r="H81" s="899"/>
      <c r="I81" s="899"/>
      <c r="J81" s="840"/>
      <c r="K81" s="883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5"/>
      <c r="W81" s="884"/>
      <c r="X81" s="884"/>
      <c r="Y81" s="884"/>
      <c r="Z81" s="884"/>
      <c r="AA81" s="884"/>
      <c r="AB81" s="884"/>
      <c r="AC81" s="884"/>
      <c r="AD81" s="884"/>
      <c r="AE81" s="884"/>
      <c r="AF81" s="885"/>
    </row>
    <row r="82" spans="1:32" ht="13.5" thickBot="1">
      <c r="A82" s="900"/>
      <c r="B82" s="901"/>
      <c r="C82" s="813"/>
      <c r="D82" s="902"/>
      <c r="E82" s="903"/>
      <c r="F82" s="904"/>
      <c r="G82" s="905">
        <v>1</v>
      </c>
      <c r="H82" s="906">
        <f aca="true" t="shared" si="5" ref="H82:AF82">(1+$D$30)^H80</f>
        <v>1</v>
      </c>
      <c r="I82" s="906">
        <f t="shared" si="5"/>
        <v>1</v>
      </c>
      <c r="J82" s="907">
        <f t="shared" si="5"/>
        <v>1</v>
      </c>
      <c r="K82" s="905">
        <f t="shared" si="5"/>
        <v>1.04</v>
      </c>
      <c r="L82" s="906">
        <f t="shared" si="5"/>
        <v>1.0816000000000001</v>
      </c>
      <c r="M82" s="906">
        <f t="shared" si="5"/>
        <v>1.124864</v>
      </c>
      <c r="N82" s="906">
        <f t="shared" si="5"/>
        <v>1.1698585600000002</v>
      </c>
      <c r="O82" s="906">
        <f t="shared" si="5"/>
        <v>1.2166529024000003</v>
      </c>
      <c r="P82" s="906">
        <f t="shared" si="5"/>
        <v>1.2653190184960004</v>
      </c>
      <c r="Q82" s="906">
        <f t="shared" si="5"/>
        <v>1.3159317792358403</v>
      </c>
      <c r="R82" s="906">
        <f t="shared" si="5"/>
        <v>1.368569050405274</v>
      </c>
      <c r="S82" s="906">
        <f t="shared" si="5"/>
        <v>1.4233118124214852</v>
      </c>
      <c r="T82" s="906">
        <f t="shared" si="5"/>
        <v>1.4802442849183446</v>
      </c>
      <c r="U82" s="906">
        <f t="shared" si="5"/>
        <v>1.5394540563150783</v>
      </c>
      <c r="V82" s="907">
        <f t="shared" si="5"/>
        <v>1.6010322185676817</v>
      </c>
      <c r="W82" s="906">
        <f t="shared" si="5"/>
        <v>1.665073507310389</v>
      </c>
      <c r="X82" s="906">
        <f t="shared" si="5"/>
        <v>1.7316764476028046</v>
      </c>
      <c r="Y82" s="906">
        <f t="shared" si="5"/>
        <v>1.8009435055069167</v>
      </c>
      <c r="Z82" s="906">
        <f t="shared" si="5"/>
        <v>1.8729812457271937</v>
      </c>
      <c r="AA82" s="906">
        <f t="shared" si="5"/>
        <v>1.9479004955562815</v>
      </c>
      <c r="AB82" s="906">
        <f t="shared" si="5"/>
        <v>2.025816515378533</v>
      </c>
      <c r="AC82" s="906">
        <f t="shared" si="5"/>
        <v>2.1068491759936743</v>
      </c>
      <c r="AD82" s="906">
        <f t="shared" si="5"/>
        <v>2.1911231430334213</v>
      </c>
      <c r="AE82" s="906">
        <f t="shared" si="5"/>
        <v>2.2787680687547587</v>
      </c>
      <c r="AF82" s="907">
        <f t="shared" si="5"/>
        <v>2.369918791504949</v>
      </c>
    </row>
    <row r="83" spans="1:32" ht="13.5" thickBot="1">
      <c r="A83" s="908"/>
      <c r="B83" s="909"/>
      <c r="C83" s="886"/>
      <c r="D83" s="903"/>
      <c r="E83" s="903"/>
      <c r="F83" s="904"/>
      <c r="G83" s="910"/>
      <c r="H83" s="911"/>
      <c r="I83" s="911"/>
      <c r="J83" s="912"/>
      <c r="K83" s="913"/>
      <c r="L83" s="914"/>
      <c r="M83" s="914"/>
      <c r="N83" s="914"/>
      <c r="O83" s="914"/>
      <c r="P83" s="914"/>
      <c r="Q83" s="914"/>
      <c r="R83" s="914"/>
      <c r="S83" s="914"/>
      <c r="T83" s="914"/>
      <c r="U83" s="914"/>
      <c r="V83" s="915"/>
      <c r="W83" s="914"/>
      <c r="X83" s="914"/>
      <c r="Y83" s="914"/>
      <c r="Z83" s="914"/>
      <c r="AA83" s="914"/>
      <c r="AB83" s="914"/>
      <c r="AC83" s="914"/>
      <c r="AD83" s="914"/>
      <c r="AE83" s="914"/>
      <c r="AF83" s="915"/>
    </row>
    <row r="84" spans="1:32" ht="12.75">
      <c r="A84" s="895"/>
      <c r="B84" s="895"/>
      <c r="C84" s="916" t="s">
        <v>51</v>
      </c>
      <c r="D84" s="917"/>
      <c r="E84" s="918"/>
      <c r="F84" s="919"/>
      <c r="G84" s="920"/>
      <c r="H84" s="921"/>
      <c r="I84" s="921"/>
      <c r="J84" s="922"/>
      <c r="K84" s="923"/>
      <c r="L84" s="924"/>
      <c r="M84" s="924"/>
      <c r="N84" s="924"/>
      <c r="O84" s="924"/>
      <c r="P84" s="924"/>
      <c r="Q84" s="924"/>
      <c r="R84" s="924"/>
      <c r="S84" s="924"/>
      <c r="T84" s="924"/>
      <c r="U84" s="924"/>
      <c r="V84" s="925"/>
      <c r="W84" s="924"/>
      <c r="X84" s="924"/>
      <c r="Y84" s="924"/>
      <c r="Z84" s="924"/>
      <c r="AA84" s="924"/>
      <c r="AB84" s="924"/>
      <c r="AC84" s="924"/>
      <c r="AD84" s="924"/>
      <c r="AE84" s="924"/>
      <c r="AF84" s="925"/>
    </row>
    <row r="85" spans="1:32" ht="12.75">
      <c r="A85" s="880"/>
      <c r="B85" s="880"/>
      <c r="C85" s="926"/>
      <c r="D85" s="910"/>
      <c r="E85" s="911"/>
      <c r="F85" s="912"/>
      <c r="G85" s="910"/>
      <c r="H85" s="911"/>
      <c r="I85" s="911"/>
      <c r="J85" s="912"/>
      <c r="K85" s="927"/>
      <c r="L85" s="928"/>
      <c r="M85" s="928"/>
      <c r="N85" s="928"/>
      <c r="O85" s="928"/>
      <c r="P85" s="928"/>
      <c r="Q85" s="928"/>
      <c r="R85" s="928"/>
      <c r="S85" s="928"/>
      <c r="T85" s="928"/>
      <c r="U85" s="928"/>
      <c r="V85" s="929"/>
      <c r="W85" s="928"/>
      <c r="X85" s="928"/>
      <c r="Y85" s="928"/>
      <c r="Z85" s="928"/>
      <c r="AA85" s="928"/>
      <c r="AB85" s="928"/>
      <c r="AC85" s="928"/>
      <c r="AD85" s="928"/>
      <c r="AE85" s="928"/>
      <c r="AF85" s="929"/>
    </row>
    <row r="86" spans="1:32" ht="12.75">
      <c r="A86" s="880"/>
      <c r="B86" s="880"/>
      <c r="C86" s="819" t="s">
        <v>28</v>
      </c>
      <c r="D86" s="930">
        <f>SUM(D87:D92)</f>
        <v>-127.8336</v>
      </c>
      <c r="E86" s="931">
        <f aca="true" t="shared" si="6" ref="E86:J86">SUM(E87:E92)</f>
        <v>-127.8336</v>
      </c>
      <c r="F86" s="932">
        <f t="shared" si="6"/>
        <v>0</v>
      </c>
      <c r="G86" s="933">
        <f t="shared" si="6"/>
        <v>-39.84</v>
      </c>
      <c r="H86" s="934">
        <f t="shared" si="6"/>
        <v>-39.9936</v>
      </c>
      <c r="I86" s="934">
        <f t="shared" si="6"/>
        <v>-30</v>
      </c>
      <c r="J86" s="935">
        <f t="shared" si="6"/>
        <v>-18</v>
      </c>
      <c r="K86" s="936"/>
      <c r="L86" s="937"/>
      <c r="M86" s="937"/>
      <c r="N86" s="937"/>
      <c r="O86" s="937"/>
      <c r="P86" s="937"/>
      <c r="Q86" s="937"/>
      <c r="R86" s="937"/>
      <c r="S86" s="937"/>
      <c r="T86" s="937"/>
      <c r="U86" s="937"/>
      <c r="V86" s="938"/>
      <c r="W86" s="937"/>
      <c r="X86" s="937"/>
      <c r="Y86" s="937"/>
      <c r="Z86" s="937"/>
      <c r="AA86" s="937"/>
      <c r="AB86" s="937"/>
      <c r="AC86" s="937"/>
      <c r="AD86" s="937"/>
      <c r="AE86" s="937"/>
      <c r="AF86" s="938"/>
    </row>
    <row r="87" spans="1:32" ht="12.75">
      <c r="A87" s="939"/>
      <c r="B87" s="939"/>
      <c r="C87" s="940" t="s">
        <v>144</v>
      </c>
      <c r="D87" s="941">
        <f aca="true" t="shared" si="7" ref="D87:D92">SUM(G87:AF87)</f>
        <v>-110</v>
      </c>
      <c r="E87" s="942">
        <f aca="true" t="shared" si="8" ref="E87:E92">SUM(G87:J87)</f>
        <v>-110</v>
      </c>
      <c r="F87" s="943">
        <f aca="true" t="shared" si="9" ref="F87:F92">SUM(K87:AF87)</f>
        <v>0</v>
      </c>
      <c r="G87" s="944">
        <f aca="true" t="shared" si="10" ref="G87:J91">-$D9*G9</f>
        <v>-33</v>
      </c>
      <c r="H87" s="945">
        <f t="shared" si="10"/>
        <v>-33</v>
      </c>
      <c r="I87" s="945">
        <f t="shared" si="10"/>
        <v>-27.5</v>
      </c>
      <c r="J87" s="946">
        <f t="shared" si="10"/>
        <v>-16.5</v>
      </c>
      <c r="K87" s="923"/>
      <c r="L87" s="924"/>
      <c r="M87" s="924"/>
      <c r="N87" s="924"/>
      <c r="O87" s="924"/>
      <c r="P87" s="924"/>
      <c r="Q87" s="924"/>
      <c r="R87" s="924"/>
      <c r="S87" s="924"/>
      <c r="T87" s="924"/>
      <c r="U87" s="924"/>
      <c r="V87" s="925"/>
      <c r="W87" s="924"/>
      <c r="X87" s="924"/>
      <c r="Y87" s="924"/>
      <c r="Z87" s="924"/>
      <c r="AA87" s="924"/>
      <c r="AB87" s="924"/>
      <c r="AC87" s="924"/>
      <c r="AD87" s="924"/>
      <c r="AE87" s="924"/>
      <c r="AF87" s="925"/>
    </row>
    <row r="88" spans="1:32" ht="12.75">
      <c r="A88" s="939"/>
      <c r="B88" s="939"/>
      <c r="C88" s="940" t="s">
        <v>143</v>
      </c>
      <c r="D88" s="941">
        <f t="shared" si="7"/>
        <v>-5</v>
      </c>
      <c r="E88" s="942">
        <f t="shared" si="8"/>
        <v>-5</v>
      </c>
      <c r="F88" s="943">
        <f t="shared" si="9"/>
        <v>0</v>
      </c>
      <c r="G88" s="944">
        <f t="shared" si="10"/>
        <v>-1.5</v>
      </c>
      <c r="H88" s="945">
        <f t="shared" si="10"/>
        <v>-1.5</v>
      </c>
      <c r="I88" s="945">
        <f t="shared" si="10"/>
        <v>-1.25</v>
      </c>
      <c r="J88" s="946">
        <f t="shared" si="10"/>
        <v>-0.75</v>
      </c>
      <c r="K88" s="923"/>
      <c r="L88" s="924"/>
      <c r="M88" s="924"/>
      <c r="N88" s="924"/>
      <c r="O88" s="924"/>
      <c r="P88" s="924"/>
      <c r="Q88" s="924"/>
      <c r="R88" s="924"/>
      <c r="S88" s="924"/>
      <c r="T88" s="924"/>
      <c r="U88" s="924"/>
      <c r="V88" s="925"/>
      <c r="W88" s="924"/>
      <c r="X88" s="924"/>
      <c r="Y88" s="924"/>
      <c r="Z88" s="924"/>
      <c r="AA88" s="924"/>
      <c r="AB88" s="924"/>
      <c r="AC88" s="924"/>
      <c r="AD88" s="924"/>
      <c r="AE88" s="924"/>
      <c r="AF88" s="925"/>
    </row>
    <row r="89" spans="1:32" ht="12.75">
      <c r="A89" s="939"/>
      <c r="B89" s="939"/>
      <c r="C89" s="940" t="s">
        <v>109</v>
      </c>
      <c r="D89" s="941">
        <f t="shared" si="7"/>
        <v>0</v>
      </c>
      <c r="E89" s="942">
        <f t="shared" si="8"/>
        <v>0</v>
      </c>
      <c r="F89" s="943">
        <f t="shared" si="9"/>
        <v>0</v>
      </c>
      <c r="G89" s="944">
        <f t="shared" si="10"/>
        <v>0</v>
      </c>
      <c r="H89" s="945">
        <f t="shared" si="10"/>
        <v>0</v>
      </c>
      <c r="I89" s="945">
        <f t="shared" si="10"/>
        <v>0</v>
      </c>
      <c r="J89" s="946">
        <f t="shared" si="10"/>
        <v>0</v>
      </c>
      <c r="K89" s="923"/>
      <c r="L89" s="924"/>
      <c r="M89" s="924"/>
      <c r="N89" s="924"/>
      <c r="O89" s="924"/>
      <c r="P89" s="924"/>
      <c r="Q89" s="924"/>
      <c r="R89" s="924"/>
      <c r="S89" s="924"/>
      <c r="T89" s="924"/>
      <c r="U89" s="924"/>
      <c r="V89" s="925"/>
      <c r="W89" s="924"/>
      <c r="X89" s="924"/>
      <c r="Y89" s="924"/>
      <c r="Z89" s="924"/>
      <c r="AA89" s="924"/>
      <c r="AB89" s="924"/>
      <c r="AC89" s="924"/>
      <c r="AD89" s="924"/>
      <c r="AE89" s="924"/>
      <c r="AF89" s="925"/>
    </row>
    <row r="90" spans="1:32" ht="12.75">
      <c r="A90" s="939"/>
      <c r="B90" s="939"/>
      <c r="C90" s="940" t="s">
        <v>109</v>
      </c>
      <c r="D90" s="941">
        <f t="shared" si="7"/>
        <v>0</v>
      </c>
      <c r="E90" s="942">
        <f t="shared" si="8"/>
        <v>0</v>
      </c>
      <c r="F90" s="943">
        <f t="shared" si="9"/>
        <v>0</v>
      </c>
      <c r="G90" s="944">
        <f t="shared" si="10"/>
        <v>0</v>
      </c>
      <c r="H90" s="945">
        <f t="shared" si="10"/>
        <v>0</v>
      </c>
      <c r="I90" s="945">
        <f t="shared" si="10"/>
        <v>0</v>
      </c>
      <c r="J90" s="946">
        <f t="shared" si="10"/>
        <v>0</v>
      </c>
      <c r="K90" s="923"/>
      <c r="L90" s="924"/>
      <c r="M90" s="924"/>
      <c r="N90" s="924"/>
      <c r="O90" s="924"/>
      <c r="P90" s="924"/>
      <c r="Q90" s="924"/>
      <c r="R90" s="924"/>
      <c r="S90" s="924"/>
      <c r="T90" s="924"/>
      <c r="U90" s="924"/>
      <c r="V90" s="925"/>
      <c r="W90" s="924"/>
      <c r="X90" s="924"/>
      <c r="Y90" s="924"/>
      <c r="Z90" s="924"/>
      <c r="AA90" s="924"/>
      <c r="AB90" s="924"/>
      <c r="AC90" s="924"/>
      <c r="AD90" s="924"/>
      <c r="AE90" s="924"/>
      <c r="AF90" s="925"/>
    </row>
    <row r="91" spans="1:32" ht="12.75">
      <c r="A91" s="939"/>
      <c r="B91" s="939"/>
      <c r="C91" s="926" t="s">
        <v>1</v>
      </c>
      <c r="D91" s="941">
        <f t="shared" si="7"/>
        <v>-5</v>
      </c>
      <c r="E91" s="942">
        <f t="shared" si="8"/>
        <v>-5</v>
      </c>
      <c r="F91" s="943">
        <f t="shared" si="9"/>
        <v>0</v>
      </c>
      <c r="G91" s="944">
        <f t="shared" si="10"/>
        <v>-1.5</v>
      </c>
      <c r="H91" s="945">
        <f t="shared" si="10"/>
        <v>-1.5</v>
      </c>
      <c r="I91" s="945">
        <f t="shared" si="10"/>
        <v>-1.25</v>
      </c>
      <c r="J91" s="946">
        <f t="shared" si="10"/>
        <v>-0.75</v>
      </c>
      <c r="K91" s="947"/>
      <c r="L91" s="948"/>
      <c r="M91" s="948"/>
      <c r="N91" s="948"/>
      <c r="O91" s="948"/>
      <c r="P91" s="948"/>
      <c r="Q91" s="948"/>
      <c r="R91" s="948"/>
      <c r="S91" s="948"/>
      <c r="T91" s="948"/>
      <c r="U91" s="948"/>
      <c r="V91" s="949"/>
      <c r="W91" s="948"/>
      <c r="X91" s="948"/>
      <c r="Y91" s="948"/>
      <c r="Z91" s="948"/>
      <c r="AA91" s="948"/>
      <c r="AB91" s="948"/>
      <c r="AC91" s="948"/>
      <c r="AD91" s="948"/>
      <c r="AE91" s="948"/>
      <c r="AF91" s="949"/>
    </row>
    <row r="92" spans="1:32" ht="12.75">
      <c r="A92" s="950"/>
      <c r="B92" s="939"/>
      <c r="C92" s="926" t="s">
        <v>37</v>
      </c>
      <c r="D92" s="941">
        <f t="shared" si="7"/>
        <v>-7.833600000000001</v>
      </c>
      <c r="E92" s="942">
        <f t="shared" si="8"/>
        <v>-7.833600000000001</v>
      </c>
      <c r="F92" s="943">
        <f t="shared" si="9"/>
        <v>0</v>
      </c>
      <c r="G92" s="944">
        <f>-G23</f>
        <v>-3.84</v>
      </c>
      <c r="H92" s="945">
        <f>-H23</f>
        <v>-3.9936000000000003</v>
      </c>
      <c r="I92" s="945">
        <f>-I23</f>
        <v>0</v>
      </c>
      <c r="J92" s="946">
        <f>-J23</f>
        <v>0</v>
      </c>
      <c r="K92" s="947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9"/>
      <c r="W92" s="948"/>
      <c r="X92" s="948"/>
      <c r="Y92" s="948"/>
      <c r="Z92" s="948"/>
      <c r="AA92" s="948"/>
      <c r="AB92" s="948"/>
      <c r="AC92" s="948"/>
      <c r="AD92" s="948"/>
      <c r="AE92" s="948"/>
      <c r="AF92" s="949"/>
    </row>
    <row r="93" spans="1:32" ht="12.75">
      <c r="A93" s="880"/>
      <c r="B93" s="880"/>
      <c r="C93" s="817"/>
      <c r="D93" s="951"/>
      <c r="E93" s="834"/>
      <c r="F93" s="952"/>
      <c r="G93" s="910"/>
      <c r="H93" s="911"/>
      <c r="I93" s="911"/>
      <c r="J93" s="912"/>
      <c r="K93" s="923"/>
      <c r="L93" s="924"/>
      <c r="M93" s="924"/>
      <c r="N93" s="924"/>
      <c r="O93" s="924"/>
      <c r="P93" s="924"/>
      <c r="Q93" s="924"/>
      <c r="R93" s="924"/>
      <c r="S93" s="924"/>
      <c r="T93" s="924"/>
      <c r="U93" s="924"/>
      <c r="V93" s="925"/>
      <c r="W93" s="924"/>
      <c r="X93" s="924"/>
      <c r="Y93" s="924"/>
      <c r="Z93" s="924"/>
      <c r="AA93" s="924"/>
      <c r="AB93" s="924"/>
      <c r="AC93" s="924"/>
      <c r="AD93" s="924"/>
      <c r="AE93" s="924"/>
      <c r="AF93" s="925"/>
    </row>
    <row r="94" spans="1:32" ht="12.75">
      <c r="A94" s="880"/>
      <c r="B94" s="880"/>
      <c r="C94" s="819" t="s">
        <v>6</v>
      </c>
      <c r="D94" s="953">
        <f>SUM(G94:AF94)</f>
        <v>127.8336</v>
      </c>
      <c r="E94" s="954">
        <f>SUM(G94:J94)</f>
        <v>127.8336</v>
      </c>
      <c r="F94" s="955">
        <f>SUM(K94:AF94)</f>
        <v>0</v>
      </c>
      <c r="G94" s="956">
        <f>SUM(G95:G97)</f>
        <v>51.9168</v>
      </c>
      <c r="H94" s="957">
        <f>SUM(H95:H97)</f>
        <v>51.9168</v>
      </c>
      <c r="I94" s="957">
        <f>SUM(I95:I97)</f>
        <v>12</v>
      </c>
      <c r="J94" s="958">
        <f>SUM(J95:J97)</f>
        <v>12</v>
      </c>
      <c r="K94" s="959"/>
      <c r="L94" s="960"/>
      <c r="M94" s="960"/>
      <c r="N94" s="960"/>
      <c r="O94" s="960"/>
      <c r="P94" s="960"/>
      <c r="Q94" s="960"/>
      <c r="R94" s="960"/>
      <c r="S94" s="960"/>
      <c r="T94" s="960"/>
      <c r="U94" s="960"/>
      <c r="V94" s="961"/>
      <c r="W94" s="960"/>
      <c r="X94" s="960"/>
      <c r="Y94" s="960"/>
      <c r="Z94" s="960"/>
      <c r="AA94" s="960"/>
      <c r="AB94" s="960"/>
      <c r="AC94" s="960"/>
      <c r="AD94" s="960"/>
      <c r="AE94" s="960"/>
      <c r="AF94" s="961"/>
    </row>
    <row r="95" spans="1:32" ht="12.75">
      <c r="A95" s="939"/>
      <c r="B95" s="939"/>
      <c r="C95" s="926" t="s">
        <v>43</v>
      </c>
      <c r="D95" s="941">
        <f>SUM(G95:AF95)</f>
        <v>0</v>
      </c>
      <c r="E95" s="942">
        <f>SUM(G95:J95)</f>
        <v>0</v>
      </c>
      <c r="F95" s="943">
        <f>SUM(K95:AF95)</f>
        <v>0</v>
      </c>
      <c r="G95" s="944">
        <f aca="true" t="shared" si="11" ref="G95:J96">$D17*G17</f>
        <v>0</v>
      </c>
      <c r="H95" s="945">
        <f t="shared" si="11"/>
        <v>0</v>
      </c>
      <c r="I95" s="945">
        <f t="shared" si="11"/>
        <v>0</v>
      </c>
      <c r="J95" s="946">
        <f t="shared" si="11"/>
        <v>0</v>
      </c>
      <c r="K95" s="927"/>
      <c r="L95" s="928"/>
      <c r="M95" s="928"/>
      <c r="N95" s="928"/>
      <c r="O95" s="928"/>
      <c r="P95" s="928"/>
      <c r="Q95" s="928"/>
      <c r="R95" s="928"/>
      <c r="S95" s="928"/>
      <c r="T95" s="928"/>
      <c r="U95" s="928"/>
      <c r="V95" s="929"/>
      <c r="W95" s="928"/>
      <c r="X95" s="928"/>
      <c r="Y95" s="928"/>
      <c r="Z95" s="928"/>
      <c r="AA95" s="928"/>
      <c r="AB95" s="928"/>
      <c r="AC95" s="928"/>
      <c r="AD95" s="928"/>
      <c r="AE95" s="928"/>
      <c r="AF95" s="929"/>
    </row>
    <row r="96" spans="1:32" ht="12.75">
      <c r="A96" s="962"/>
      <c r="B96" s="939"/>
      <c r="C96" s="926" t="s">
        <v>3</v>
      </c>
      <c r="D96" s="941">
        <f>SUM(G96:AF96)</f>
        <v>24</v>
      </c>
      <c r="E96" s="942">
        <f>SUM(G96:J96)</f>
        <v>24</v>
      </c>
      <c r="F96" s="943">
        <f>SUM(K96:AF96)</f>
        <v>0</v>
      </c>
      <c r="G96" s="944">
        <f t="shared" si="11"/>
        <v>0</v>
      </c>
      <c r="H96" s="945">
        <f t="shared" si="11"/>
        <v>0</v>
      </c>
      <c r="I96" s="945">
        <f t="shared" si="11"/>
        <v>12</v>
      </c>
      <c r="J96" s="946">
        <f t="shared" si="11"/>
        <v>12</v>
      </c>
      <c r="K96" s="927"/>
      <c r="L96" s="928"/>
      <c r="M96" s="928"/>
      <c r="N96" s="928"/>
      <c r="O96" s="928"/>
      <c r="P96" s="928"/>
      <c r="Q96" s="928"/>
      <c r="R96" s="928"/>
      <c r="S96" s="928"/>
      <c r="T96" s="928"/>
      <c r="U96" s="928"/>
      <c r="V96" s="929"/>
      <c r="W96" s="928"/>
      <c r="X96" s="928"/>
      <c r="Y96" s="928"/>
      <c r="Z96" s="928"/>
      <c r="AA96" s="928"/>
      <c r="AB96" s="928"/>
      <c r="AC96" s="928"/>
      <c r="AD96" s="928"/>
      <c r="AE96" s="928"/>
      <c r="AF96" s="929"/>
    </row>
    <row r="97" spans="1:32" ht="12.75">
      <c r="A97" s="963"/>
      <c r="B97" s="939"/>
      <c r="C97" s="926" t="s">
        <v>34</v>
      </c>
      <c r="D97" s="941">
        <f>SUM(G97:AF97)</f>
        <v>103.8336</v>
      </c>
      <c r="E97" s="942">
        <f>SUM(G97:J97)</f>
        <v>103.8336</v>
      </c>
      <c r="F97" s="943">
        <f>SUM(K97:AF97)</f>
        <v>0</v>
      </c>
      <c r="G97" s="944">
        <f>$D24*G22</f>
        <v>51.9168</v>
      </c>
      <c r="H97" s="945">
        <f>$D24*H22</f>
        <v>51.9168</v>
      </c>
      <c r="I97" s="945">
        <f>$D24*I22</f>
        <v>0</v>
      </c>
      <c r="J97" s="946">
        <f>$D24*J22</f>
        <v>0</v>
      </c>
      <c r="K97" s="927"/>
      <c r="L97" s="928"/>
      <c r="M97" s="928"/>
      <c r="N97" s="928"/>
      <c r="O97" s="928"/>
      <c r="P97" s="928"/>
      <c r="Q97" s="928"/>
      <c r="R97" s="928"/>
      <c r="S97" s="928"/>
      <c r="T97" s="928"/>
      <c r="U97" s="928"/>
      <c r="V97" s="929"/>
      <c r="W97" s="928"/>
      <c r="X97" s="928"/>
      <c r="Y97" s="928"/>
      <c r="Z97" s="928"/>
      <c r="AA97" s="928"/>
      <c r="AB97" s="928"/>
      <c r="AC97" s="928"/>
      <c r="AD97" s="928"/>
      <c r="AE97" s="928"/>
      <c r="AF97" s="929"/>
    </row>
    <row r="98" spans="1:32" ht="13.5" thickBot="1">
      <c r="A98" s="939"/>
      <c r="B98" s="939"/>
      <c r="C98" s="926"/>
      <c r="D98" s="910"/>
      <c r="E98" s="911"/>
      <c r="F98" s="912"/>
      <c r="G98" s="964"/>
      <c r="H98" s="965"/>
      <c r="I98" s="965"/>
      <c r="J98" s="966"/>
      <c r="K98" s="967"/>
      <c r="L98" s="968"/>
      <c r="M98" s="968"/>
      <c r="N98" s="968"/>
      <c r="O98" s="968"/>
      <c r="P98" s="968"/>
      <c r="Q98" s="968"/>
      <c r="R98" s="968"/>
      <c r="S98" s="968"/>
      <c r="T98" s="968"/>
      <c r="U98" s="968"/>
      <c r="V98" s="969"/>
      <c r="W98" s="948"/>
      <c r="X98" s="948"/>
      <c r="Y98" s="948"/>
      <c r="Z98" s="948"/>
      <c r="AA98" s="948"/>
      <c r="AB98" s="948"/>
      <c r="AC98" s="948"/>
      <c r="AD98" s="948"/>
      <c r="AE98" s="948"/>
      <c r="AF98" s="949"/>
    </row>
    <row r="99" spans="1:32" ht="12.75">
      <c r="A99" s="869"/>
      <c r="B99" s="869"/>
      <c r="C99" s="970" t="s">
        <v>50</v>
      </c>
      <c r="D99" s="920"/>
      <c r="E99" s="921"/>
      <c r="F99" s="922"/>
      <c r="G99" s="920"/>
      <c r="H99" s="921"/>
      <c r="I99" s="921"/>
      <c r="J99" s="922"/>
      <c r="K99" s="971"/>
      <c r="L99" s="972"/>
      <c r="M99" s="972"/>
      <c r="N99" s="972"/>
      <c r="O99" s="972"/>
      <c r="P99" s="972"/>
      <c r="Q99" s="972"/>
      <c r="R99" s="972"/>
      <c r="S99" s="972"/>
      <c r="T99" s="972"/>
      <c r="U99" s="972"/>
      <c r="V99" s="973"/>
      <c r="W99" s="972"/>
      <c r="X99" s="972"/>
      <c r="Y99" s="972"/>
      <c r="Z99" s="972"/>
      <c r="AA99" s="972"/>
      <c r="AB99" s="972"/>
      <c r="AC99" s="972"/>
      <c r="AD99" s="972"/>
      <c r="AE99" s="972"/>
      <c r="AF99" s="973"/>
    </row>
    <row r="100" spans="1:32" ht="12.75">
      <c r="A100" s="939"/>
      <c r="B100" s="939"/>
      <c r="C100" s="974"/>
      <c r="D100" s="910"/>
      <c r="E100" s="911"/>
      <c r="F100" s="912"/>
      <c r="G100" s="910"/>
      <c r="H100" s="911"/>
      <c r="I100" s="911"/>
      <c r="J100" s="912"/>
      <c r="K100" s="975"/>
      <c r="L100" s="976"/>
      <c r="M100" s="976"/>
      <c r="N100" s="976"/>
      <c r="O100" s="976"/>
      <c r="P100" s="976"/>
      <c r="Q100" s="976"/>
      <c r="R100" s="976"/>
      <c r="S100" s="976"/>
      <c r="T100" s="976"/>
      <c r="U100" s="976"/>
      <c r="V100" s="977"/>
      <c r="W100" s="976"/>
      <c r="X100" s="976"/>
      <c r="Y100" s="976"/>
      <c r="Z100" s="976"/>
      <c r="AA100" s="976"/>
      <c r="AB100" s="976"/>
      <c r="AC100" s="976"/>
      <c r="AD100" s="976"/>
      <c r="AE100" s="976"/>
      <c r="AF100" s="977"/>
    </row>
    <row r="101" spans="1:32" ht="12.75">
      <c r="A101" s="880"/>
      <c r="B101" s="880"/>
      <c r="C101" s="819" t="s">
        <v>2</v>
      </c>
      <c r="D101" s="930">
        <f aca="true" t="shared" si="12" ref="D101:D107">SUM(G101:AF101)</f>
        <v>493.5164185642694</v>
      </c>
      <c r="E101" s="931">
        <f aca="true" t="shared" si="13" ref="E101:E107">SUM(G101:J101)</f>
        <v>0</v>
      </c>
      <c r="F101" s="932">
        <f aca="true" t="shared" si="14" ref="F101:F107">SUM(K101:AF101)</f>
        <v>493.5164185642694</v>
      </c>
      <c r="G101" s="978"/>
      <c r="H101" s="979"/>
      <c r="I101" s="979"/>
      <c r="J101" s="980"/>
      <c r="K101" s="981">
        <f>SUM(K102:K107)</f>
        <v>24.30118021141649</v>
      </c>
      <c r="L101" s="982">
        <f aca="true" t="shared" si="15" ref="L101:AF101">SUM(L102:L107)</f>
        <v>23.895223172600424</v>
      </c>
      <c r="M101" s="982">
        <f t="shared" si="15"/>
        <v>23.498586892231714</v>
      </c>
      <c r="N101" s="982">
        <f t="shared" si="15"/>
        <v>23.111644200648257</v>
      </c>
      <c r="O101" s="982">
        <f t="shared" si="15"/>
        <v>22.734782841401454</v>
      </c>
      <c r="P101" s="982">
        <f t="shared" si="15"/>
        <v>22.36840606778479</v>
      </c>
      <c r="Q101" s="982">
        <f t="shared" si="15"/>
        <v>22.012933263223452</v>
      </c>
      <c r="R101" s="982">
        <f t="shared" si="15"/>
        <v>21.668800586479666</v>
      </c>
      <c r="S101" s="982">
        <f t="shared" si="15"/>
        <v>21.336461642666123</v>
      </c>
      <c r="T101" s="982">
        <f t="shared" si="15"/>
        <v>21.01638818110004</v>
      </c>
      <c r="U101" s="982">
        <f t="shared" si="15"/>
        <v>20.709070821071318</v>
      </c>
      <c r="V101" s="983">
        <f t="shared" si="15"/>
        <v>20.415019806641446</v>
      </c>
      <c r="W101" s="982">
        <f t="shared" si="15"/>
        <v>20.773741791634375</v>
      </c>
      <c r="X101" s="982">
        <f t="shared" si="15"/>
        <v>21.146812656027024</v>
      </c>
      <c r="Y101" s="982">
        <f t="shared" si="15"/>
        <v>21.534806354995375</v>
      </c>
      <c r="Z101" s="982">
        <f t="shared" si="15"/>
        <v>21.938319801922464</v>
      </c>
      <c r="AA101" s="982">
        <f t="shared" si="15"/>
        <v>22.35797378672664</v>
      </c>
      <c r="AB101" s="982">
        <f t="shared" si="15"/>
        <v>22.79441393092298</v>
      </c>
      <c r="AC101" s="982">
        <f t="shared" si="15"/>
        <v>23.24831168088717</v>
      </c>
      <c r="AD101" s="982">
        <f t="shared" si="15"/>
        <v>23.72036534084993</v>
      </c>
      <c r="AE101" s="982">
        <f t="shared" si="15"/>
        <v>24.211301147211202</v>
      </c>
      <c r="AF101" s="983">
        <f t="shared" si="15"/>
        <v>24.72187438582692</v>
      </c>
    </row>
    <row r="102" spans="1:32" ht="12.75">
      <c r="A102" s="950"/>
      <c r="B102" s="984"/>
      <c r="C102" s="926" t="s">
        <v>24</v>
      </c>
      <c r="D102" s="941">
        <f>SUM(G102:AF102)</f>
        <v>47.99999999999997</v>
      </c>
      <c r="E102" s="942">
        <f t="shared" si="13"/>
        <v>0</v>
      </c>
      <c r="F102" s="943">
        <f>SUM(K102:AF102)</f>
        <v>47.99999999999997</v>
      </c>
      <c r="G102" s="910"/>
      <c r="H102" s="911"/>
      <c r="I102" s="911"/>
      <c r="J102" s="912"/>
      <c r="K102" s="944">
        <f>$D$18*$D$19/22</f>
        <v>2.1818181818181817</v>
      </c>
      <c r="L102" s="945">
        <f>$D$18*$D$19/22</f>
        <v>2.1818181818181817</v>
      </c>
      <c r="M102" s="945">
        <f aca="true" t="shared" si="16" ref="M102:AF102">$D$18*$D$19/22</f>
        <v>2.1818181818181817</v>
      </c>
      <c r="N102" s="945">
        <f t="shared" si="16"/>
        <v>2.1818181818181817</v>
      </c>
      <c r="O102" s="945">
        <f t="shared" si="16"/>
        <v>2.1818181818181817</v>
      </c>
      <c r="P102" s="945">
        <f t="shared" si="16"/>
        <v>2.1818181818181817</v>
      </c>
      <c r="Q102" s="945">
        <f t="shared" si="16"/>
        <v>2.1818181818181817</v>
      </c>
      <c r="R102" s="945">
        <f t="shared" si="16"/>
        <v>2.1818181818181817</v>
      </c>
      <c r="S102" s="945">
        <f t="shared" si="16"/>
        <v>2.1818181818181817</v>
      </c>
      <c r="T102" s="945">
        <f t="shared" si="16"/>
        <v>2.1818181818181817</v>
      </c>
      <c r="U102" s="945">
        <f t="shared" si="16"/>
        <v>2.1818181818181817</v>
      </c>
      <c r="V102" s="946">
        <f t="shared" si="16"/>
        <v>2.1818181818181817</v>
      </c>
      <c r="W102" s="945">
        <f t="shared" si="16"/>
        <v>2.1818181818181817</v>
      </c>
      <c r="X102" s="945">
        <f t="shared" si="16"/>
        <v>2.1818181818181817</v>
      </c>
      <c r="Y102" s="945">
        <f t="shared" si="16"/>
        <v>2.1818181818181817</v>
      </c>
      <c r="Z102" s="945">
        <f t="shared" si="16"/>
        <v>2.1818181818181817</v>
      </c>
      <c r="AA102" s="945">
        <f t="shared" si="16"/>
        <v>2.1818181818181817</v>
      </c>
      <c r="AB102" s="945">
        <f t="shared" si="16"/>
        <v>2.1818181818181817</v>
      </c>
      <c r="AC102" s="945">
        <f t="shared" si="16"/>
        <v>2.1818181818181817</v>
      </c>
      <c r="AD102" s="945">
        <f t="shared" si="16"/>
        <v>2.1818181818181817</v>
      </c>
      <c r="AE102" s="945">
        <f t="shared" si="16"/>
        <v>2.1818181818181817</v>
      </c>
      <c r="AF102" s="946">
        <f t="shared" si="16"/>
        <v>2.1818181818181817</v>
      </c>
    </row>
    <row r="103" spans="1:32" ht="12.75">
      <c r="A103" s="939"/>
      <c r="B103" s="939"/>
      <c r="C103" s="926" t="s">
        <v>26</v>
      </c>
      <c r="D103" s="941">
        <f t="shared" si="12"/>
        <v>175.7184</v>
      </c>
      <c r="E103" s="942">
        <f t="shared" si="13"/>
        <v>0</v>
      </c>
      <c r="F103" s="943">
        <f t="shared" si="14"/>
        <v>175.7184</v>
      </c>
      <c r="G103" s="910"/>
      <c r="H103" s="911"/>
      <c r="I103" s="911"/>
      <c r="J103" s="912"/>
      <c r="K103" s="985">
        <f>-K110</f>
        <v>7.9872000000000005</v>
      </c>
      <c r="L103" s="986">
        <f aca="true" t="shared" si="17" ref="L103:AA107">-L110</f>
        <v>7.9872000000000005</v>
      </c>
      <c r="M103" s="986">
        <f t="shared" si="17"/>
        <v>7.9872000000000005</v>
      </c>
      <c r="N103" s="986">
        <f t="shared" si="17"/>
        <v>7.9872000000000005</v>
      </c>
      <c r="O103" s="986">
        <f t="shared" si="17"/>
        <v>7.9872000000000005</v>
      </c>
      <c r="P103" s="986">
        <f t="shared" si="17"/>
        <v>7.9872000000000005</v>
      </c>
      <c r="Q103" s="986">
        <f t="shared" si="17"/>
        <v>7.9872000000000005</v>
      </c>
      <c r="R103" s="986">
        <f t="shared" si="17"/>
        <v>7.9872000000000005</v>
      </c>
      <c r="S103" s="986">
        <f t="shared" si="17"/>
        <v>7.9872000000000005</v>
      </c>
      <c r="T103" s="986">
        <f t="shared" si="17"/>
        <v>7.9872000000000005</v>
      </c>
      <c r="U103" s="986">
        <f t="shared" si="17"/>
        <v>7.9872000000000005</v>
      </c>
      <c r="V103" s="987">
        <f t="shared" si="17"/>
        <v>7.9872000000000005</v>
      </c>
      <c r="W103" s="988">
        <f>V103</f>
        <v>7.9872000000000005</v>
      </c>
      <c r="X103" s="988">
        <f aca="true" t="shared" si="18" ref="X103:AF104">W103</f>
        <v>7.9872000000000005</v>
      </c>
      <c r="Y103" s="988">
        <f t="shared" si="18"/>
        <v>7.9872000000000005</v>
      </c>
      <c r="Z103" s="988">
        <f t="shared" si="18"/>
        <v>7.9872000000000005</v>
      </c>
      <c r="AA103" s="988">
        <f t="shared" si="18"/>
        <v>7.9872000000000005</v>
      </c>
      <c r="AB103" s="988">
        <f t="shared" si="18"/>
        <v>7.9872000000000005</v>
      </c>
      <c r="AC103" s="988">
        <f t="shared" si="18"/>
        <v>7.9872000000000005</v>
      </c>
      <c r="AD103" s="988">
        <f t="shared" si="18"/>
        <v>7.9872000000000005</v>
      </c>
      <c r="AE103" s="988">
        <f t="shared" si="18"/>
        <v>7.9872000000000005</v>
      </c>
      <c r="AF103" s="989">
        <f t="shared" si="18"/>
        <v>7.9872000000000005</v>
      </c>
    </row>
    <row r="104" spans="1:32" ht="12.75">
      <c r="A104" s="950"/>
      <c r="B104" s="984"/>
      <c r="C104" s="926" t="s">
        <v>25</v>
      </c>
      <c r="D104" s="941">
        <f>SUM(G104:AF104)</f>
        <v>70.28735999999999</v>
      </c>
      <c r="E104" s="942">
        <f t="shared" si="13"/>
        <v>0</v>
      </c>
      <c r="F104" s="943">
        <f>SUM(K104:AF104)</f>
        <v>70.28735999999999</v>
      </c>
      <c r="G104" s="910"/>
      <c r="H104" s="911"/>
      <c r="I104" s="911"/>
      <c r="J104" s="912"/>
      <c r="K104" s="985">
        <f>-K111</f>
        <v>8.306688000000001</v>
      </c>
      <c r="L104" s="986">
        <f t="shared" si="17"/>
        <v>7.667712000000001</v>
      </c>
      <c r="M104" s="986">
        <f t="shared" si="17"/>
        <v>7.028736</v>
      </c>
      <c r="N104" s="986">
        <f t="shared" si="17"/>
        <v>6.38976</v>
      </c>
      <c r="O104" s="986">
        <f t="shared" si="17"/>
        <v>5.750784</v>
      </c>
      <c r="P104" s="986">
        <f t="shared" si="17"/>
        <v>5.111808000000001</v>
      </c>
      <c r="Q104" s="986">
        <f t="shared" si="17"/>
        <v>4.472832</v>
      </c>
      <c r="R104" s="986">
        <f t="shared" si="17"/>
        <v>3.8338560000000004</v>
      </c>
      <c r="S104" s="986">
        <f t="shared" si="17"/>
        <v>3.19488</v>
      </c>
      <c r="T104" s="986">
        <f t="shared" si="17"/>
        <v>2.5559040000000004</v>
      </c>
      <c r="U104" s="986">
        <f t="shared" si="17"/>
        <v>1.9169280000000004</v>
      </c>
      <c r="V104" s="987">
        <f t="shared" si="17"/>
        <v>1.2779520000000002</v>
      </c>
      <c r="W104" s="988">
        <f>V104</f>
        <v>1.2779520000000002</v>
      </c>
      <c r="X104" s="988">
        <f t="shared" si="18"/>
        <v>1.2779520000000002</v>
      </c>
      <c r="Y104" s="988">
        <f t="shared" si="18"/>
        <v>1.2779520000000002</v>
      </c>
      <c r="Z104" s="988">
        <f t="shared" si="18"/>
        <v>1.2779520000000002</v>
      </c>
      <c r="AA104" s="988">
        <f t="shared" si="18"/>
        <v>1.2779520000000002</v>
      </c>
      <c r="AB104" s="988">
        <f t="shared" si="18"/>
        <v>1.2779520000000002</v>
      </c>
      <c r="AC104" s="988">
        <f t="shared" si="18"/>
        <v>1.2779520000000002</v>
      </c>
      <c r="AD104" s="988">
        <f t="shared" si="18"/>
        <v>1.2779520000000002</v>
      </c>
      <c r="AE104" s="988">
        <f t="shared" si="18"/>
        <v>1.2779520000000002</v>
      </c>
      <c r="AF104" s="989">
        <f t="shared" si="18"/>
        <v>1.2779520000000002</v>
      </c>
    </row>
    <row r="105" spans="1:32" ht="12.75">
      <c r="A105" s="950"/>
      <c r="B105" s="984"/>
      <c r="C105" s="926" t="s">
        <v>27</v>
      </c>
      <c r="D105" s="941">
        <f t="shared" si="12"/>
        <v>19.427939224979255</v>
      </c>
      <c r="E105" s="942">
        <f t="shared" si="13"/>
        <v>0</v>
      </c>
      <c r="F105" s="943">
        <f t="shared" si="14"/>
        <v>19.427939224979255</v>
      </c>
      <c r="G105" s="910"/>
      <c r="H105" s="911"/>
      <c r="I105" s="911"/>
      <c r="J105" s="912"/>
      <c r="K105" s="985">
        <f>-K112</f>
        <v>0.5672727272727273</v>
      </c>
      <c r="L105" s="986">
        <f t="shared" si="17"/>
        <v>0.5899636363636364</v>
      </c>
      <c r="M105" s="986">
        <f t="shared" si="17"/>
        <v>0.6135621818181818</v>
      </c>
      <c r="N105" s="986">
        <f t="shared" si="17"/>
        <v>0.6381046690909091</v>
      </c>
      <c r="O105" s="986">
        <f t="shared" si="17"/>
        <v>0.6636288558545456</v>
      </c>
      <c r="P105" s="986">
        <f t="shared" si="17"/>
        <v>0.6901740100887275</v>
      </c>
      <c r="Q105" s="986">
        <f t="shared" si="17"/>
        <v>0.7177809704922764</v>
      </c>
      <c r="R105" s="986">
        <f t="shared" si="17"/>
        <v>0.7464922093119677</v>
      </c>
      <c r="S105" s="986">
        <f t="shared" si="17"/>
        <v>0.7763518976844465</v>
      </c>
      <c r="T105" s="986">
        <f t="shared" si="17"/>
        <v>0.8074059735918243</v>
      </c>
      <c r="U105" s="986">
        <f t="shared" si="17"/>
        <v>0.8397022125354972</v>
      </c>
      <c r="V105" s="987">
        <f t="shared" si="17"/>
        <v>0.8732903010369173</v>
      </c>
      <c r="W105" s="986">
        <f t="shared" si="17"/>
        <v>0.908221913078394</v>
      </c>
      <c r="X105" s="986">
        <f t="shared" si="17"/>
        <v>0.9445507896015297</v>
      </c>
      <c r="Y105" s="986">
        <f t="shared" si="17"/>
        <v>0.9823328211855908</v>
      </c>
      <c r="Z105" s="986">
        <f t="shared" si="17"/>
        <v>1.0216261340330146</v>
      </c>
      <c r="AA105" s="986">
        <f t="shared" si="17"/>
        <v>1.0624911793943352</v>
      </c>
      <c r="AB105" s="986">
        <f aca="true" t="shared" si="19" ref="AB105:AF107">-AB112</f>
        <v>1.104990826570109</v>
      </c>
      <c r="AC105" s="986">
        <f t="shared" si="19"/>
        <v>1.1491904596329132</v>
      </c>
      <c r="AD105" s="986">
        <f t="shared" si="19"/>
        <v>1.1951580780182296</v>
      </c>
      <c r="AE105" s="986">
        <f t="shared" si="19"/>
        <v>1.2429644011389591</v>
      </c>
      <c r="AF105" s="987">
        <f t="shared" si="19"/>
        <v>1.2926829771845174</v>
      </c>
    </row>
    <row r="106" spans="1:32" ht="12.75">
      <c r="A106" s="939"/>
      <c r="B106" s="939"/>
      <c r="C106" s="926" t="s">
        <v>10</v>
      </c>
      <c r="D106" s="941">
        <f t="shared" si="12"/>
        <v>139.15826235566533</v>
      </c>
      <c r="E106" s="942">
        <f t="shared" si="13"/>
        <v>0</v>
      </c>
      <c r="F106" s="943">
        <f t="shared" si="14"/>
        <v>139.15826235566533</v>
      </c>
      <c r="G106" s="910"/>
      <c r="H106" s="911"/>
      <c r="I106" s="911"/>
      <c r="J106" s="912"/>
      <c r="K106" s="985">
        <f>-K113</f>
        <v>4.0632558139534884</v>
      </c>
      <c r="L106" s="986">
        <f t="shared" si="17"/>
        <v>4.225786046511629</v>
      </c>
      <c r="M106" s="986">
        <f t="shared" si="17"/>
        <v>4.394817488372093</v>
      </c>
      <c r="N106" s="986">
        <f t="shared" si="17"/>
        <v>4.570610187906977</v>
      </c>
      <c r="O106" s="986">
        <f t="shared" si="17"/>
        <v>4.753434595423257</v>
      </c>
      <c r="P106" s="986">
        <f t="shared" si="17"/>
        <v>4.943571979240187</v>
      </c>
      <c r="Q106" s="986">
        <f t="shared" si="17"/>
        <v>5.141314858409794</v>
      </c>
      <c r="R106" s="986">
        <f t="shared" si="17"/>
        <v>5.346967452746187</v>
      </c>
      <c r="S106" s="986">
        <f t="shared" si="17"/>
        <v>5.560846150856035</v>
      </c>
      <c r="T106" s="986">
        <f t="shared" si="17"/>
        <v>5.783279996890276</v>
      </c>
      <c r="U106" s="986">
        <f t="shared" si="17"/>
        <v>6.014611196765887</v>
      </c>
      <c r="V106" s="987">
        <f t="shared" si="17"/>
        <v>6.255195644636523</v>
      </c>
      <c r="W106" s="986">
        <f t="shared" si="17"/>
        <v>6.505403470421985</v>
      </c>
      <c r="X106" s="986">
        <f t="shared" si="17"/>
        <v>6.765619609238864</v>
      </c>
      <c r="Y106" s="986">
        <f t="shared" si="17"/>
        <v>7.036244393608419</v>
      </c>
      <c r="Z106" s="986">
        <f t="shared" si="17"/>
        <v>7.317694169352756</v>
      </c>
      <c r="AA106" s="986">
        <f t="shared" si="17"/>
        <v>7.610401936126867</v>
      </c>
      <c r="AB106" s="986">
        <f t="shared" si="19"/>
        <v>7.914818013571943</v>
      </c>
      <c r="AC106" s="986">
        <f t="shared" si="19"/>
        <v>8.23141073411482</v>
      </c>
      <c r="AD106" s="986">
        <f t="shared" si="19"/>
        <v>8.560667163479414</v>
      </c>
      <c r="AE106" s="986">
        <f t="shared" si="19"/>
        <v>8.903093850018593</v>
      </c>
      <c r="AF106" s="987">
        <f t="shared" si="19"/>
        <v>9.259217604019335</v>
      </c>
    </row>
    <row r="107" spans="1:32" ht="12.75">
      <c r="A107" s="939"/>
      <c r="B107" s="939"/>
      <c r="C107" s="926" t="s">
        <v>9</v>
      </c>
      <c r="D107" s="941">
        <f t="shared" si="12"/>
        <v>40.924456983624665</v>
      </c>
      <c r="E107" s="942">
        <f t="shared" si="13"/>
        <v>0</v>
      </c>
      <c r="F107" s="943">
        <f t="shared" si="14"/>
        <v>40.924456983624665</v>
      </c>
      <c r="G107" s="910"/>
      <c r="H107" s="911"/>
      <c r="I107" s="911"/>
      <c r="J107" s="912"/>
      <c r="K107" s="985">
        <f>-K114</f>
        <v>1.1949454883720931</v>
      </c>
      <c r="L107" s="986">
        <f t="shared" si="17"/>
        <v>1.242743307906977</v>
      </c>
      <c r="M107" s="986">
        <f t="shared" si="17"/>
        <v>1.292453040223256</v>
      </c>
      <c r="N107" s="986">
        <f t="shared" si="17"/>
        <v>1.3441511618321864</v>
      </c>
      <c r="O107" s="986">
        <f t="shared" si="17"/>
        <v>1.3979172083054738</v>
      </c>
      <c r="P107" s="986">
        <f t="shared" si="17"/>
        <v>1.453833896637693</v>
      </c>
      <c r="Q107" s="986">
        <f t="shared" si="17"/>
        <v>1.5119872525032005</v>
      </c>
      <c r="R107" s="986">
        <f t="shared" si="17"/>
        <v>1.5724667426033287</v>
      </c>
      <c r="S107" s="986">
        <f t="shared" si="17"/>
        <v>1.6353654123074621</v>
      </c>
      <c r="T107" s="986">
        <f t="shared" si="17"/>
        <v>1.7007800287997605</v>
      </c>
      <c r="U107" s="986">
        <f t="shared" si="17"/>
        <v>1.7688112299517509</v>
      </c>
      <c r="V107" s="987">
        <f t="shared" si="17"/>
        <v>1.8395636791498213</v>
      </c>
      <c r="W107" s="986">
        <f t="shared" si="17"/>
        <v>1.913146226315814</v>
      </c>
      <c r="X107" s="986">
        <f t="shared" si="17"/>
        <v>1.9896720753684467</v>
      </c>
      <c r="Y107" s="986">
        <f t="shared" si="17"/>
        <v>2.0692589583831844</v>
      </c>
      <c r="Z107" s="986">
        <f t="shared" si="17"/>
        <v>2.152029316718512</v>
      </c>
      <c r="AA107" s="986">
        <f t="shared" si="17"/>
        <v>2.2381104893872528</v>
      </c>
      <c r="AB107" s="986">
        <f t="shared" si="19"/>
        <v>2.327634908962743</v>
      </c>
      <c r="AC107" s="986">
        <f t="shared" si="19"/>
        <v>2.4207403053212526</v>
      </c>
      <c r="AD107" s="986">
        <f t="shared" si="19"/>
        <v>2.517569917534103</v>
      </c>
      <c r="AE107" s="986">
        <f t="shared" si="19"/>
        <v>2.618272714235468</v>
      </c>
      <c r="AF107" s="987">
        <f t="shared" si="19"/>
        <v>2.723003622804886</v>
      </c>
    </row>
    <row r="108" spans="1:32" ht="12.75">
      <c r="A108" s="939"/>
      <c r="B108" s="939"/>
      <c r="C108" s="990"/>
      <c r="D108" s="910"/>
      <c r="E108" s="911"/>
      <c r="F108" s="912"/>
      <c r="G108" s="910"/>
      <c r="H108" s="911"/>
      <c r="I108" s="911"/>
      <c r="J108" s="912"/>
      <c r="K108" s="910"/>
      <c r="L108" s="911"/>
      <c r="M108" s="911"/>
      <c r="N108" s="911"/>
      <c r="O108" s="911"/>
      <c r="P108" s="911"/>
      <c r="Q108" s="911"/>
      <c r="R108" s="911"/>
      <c r="S108" s="911"/>
      <c r="T108" s="911"/>
      <c r="U108" s="911"/>
      <c r="V108" s="912"/>
      <c r="W108" s="911"/>
      <c r="X108" s="911"/>
      <c r="Y108" s="911"/>
      <c r="Z108" s="911"/>
      <c r="AA108" s="911"/>
      <c r="AB108" s="911"/>
      <c r="AC108" s="911"/>
      <c r="AD108" s="911"/>
      <c r="AE108" s="911"/>
      <c r="AF108" s="912"/>
    </row>
    <row r="109" spans="1:32" ht="12.75">
      <c r="A109" s="880"/>
      <c r="B109" s="880"/>
      <c r="C109" s="819" t="s">
        <v>20</v>
      </c>
      <c r="D109" s="930">
        <f aca="true" t="shared" si="20" ref="D109:D114">SUM(G109:AF109)</f>
        <v>-352.8648985642693</v>
      </c>
      <c r="E109" s="931">
        <f aca="true" t="shared" si="21" ref="E109:E114">SUM(G109:J109)</f>
        <v>0</v>
      </c>
      <c r="F109" s="932">
        <f aca="true" t="shared" si="22" ref="F109:F114">SUM(K109:AF109)</f>
        <v>-352.8648985642693</v>
      </c>
      <c r="G109" s="978"/>
      <c r="H109" s="979"/>
      <c r="I109" s="979"/>
      <c r="J109" s="980"/>
      <c r="K109" s="981">
        <f aca="true" t="shared" si="23" ref="K109:AF109">SUM(K110:K114)</f>
        <v>-22.11936202959831</v>
      </c>
      <c r="L109" s="982">
        <f t="shared" si="23"/>
        <v>-21.713404990782244</v>
      </c>
      <c r="M109" s="982">
        <f t="shared" si="23"/>
        <v>-21.316768710413534</v>
      </c>
      <c r="N109" s="982">
        <f t="shared" si="23"/>
        <v>-20.929826018830074</v>
      </c>
      <c r="O109" s="982">
        <f t="shared" si="23"/>
        <v>-20.552964659583274</v>
      </c>
      <c r="P109" s="982">
        <f t="shared" si="23"/>
        <v>-20.18658788596661</v>
      </c>
      <c r="Q109" s="982">
        <f t="shared" si="23"/>
        <v>-19.831115081405272</v>
      </c>
      <c r="R109" s="982">
        <f t="shared" si="23"/>
        <v>-19.486982404661486</v>
      </c>
      <c r="S109" s="982">
        <f t="shared" si="23"/>
        <v>-19.154643460847943</v>
      </c>
      <c r="T109" s="982">
        <f t="shared" si="23"/>
        <v>-18.83456999928186</v>
      </c>
      <c r="U109" s="982">
        <f t="shared" si="23"/>
        <v>-18.527252639253135</v>
      </c>
      <c r="V109" s="983">
        <f t="shared" si="23"/>
        <v>-18.233201624823263</v>
      </c>
      <c r="W109" s="982">
        <f t="shared" si="23"/>
        <v>-9.326771609816193</v>
      </c>
      <c r="X109" s="982">
        <f t="shared" si="23"/>
        <v>-9.69984247420884</v>
      </c>
      <c r="Y109" s="982">
        <f t="shared" si="23"/>
        <v>-10.087836173177193</v>
      </c>
      <c r="Z109" s="982">
        <f t="shared" si="23"/>
        <v>-10.491349620104282</v>
      </c>
      <c r="AA109" s="982">
        <f t="shared" si="23"/>
        <v>-10.911003604908455</v>
      </c>
      <c r="AB109" s="982">
        <f t="shared" si="23"/>
        <v>-11.347443749104794</v>
      </c>
      <c r="AC109" s="982">
        <f t="shared" si="23"/>
        <v>-11.801341499068988</v>
      </c>
      <c r="AD109" s="982">
        <f t="shared" si="23"/>
        <v>-12.273395159031747</v>
      </c>
      <c r="AE109" s="982">
        <f t="shared" si="23"/>
        <v>-12.76433096539302</v>
      </c>
      <c r="AF109" s="983">
        <f t="shared" si="23"/>
        <v>-13.274904204008738</v>
      </c>
    </row>
    <row r="110" spans="1:32" ht="12.75">
      <c r="A110" s="939"/>
      <c r="B110" s="939"/>
      <c r="C110" s="926" t="s">
        <v>52</v>
      </c>
      <c r="D110" s="941">
        <f t="shared" si="20"/>
        <v>-95.8464</v>
      </c>
      <c r="E110" s="942">
        <f t="shared" si="21"/>
        <v>0</v>
      </c>
      <c r="F110" s="943">
        <f t="shared" si="22"/>
        <v>-95.8464</v>
      </c>
      <c r="G110" s="975"/>
      <c r="H110" s="976"/>
      <c r="I110" s="976"/>
      <c r="J110" s="977"/>
      <c r="K110" s="985">
        <f aca="true" t="shared" si="24" ref="K110:V110">-$D$24/$D$21</f>
        <v>-7.9872000000000005</v>
      </c>
      <c r="L110" s="986">
        <f t="shared" si="24"/>
        <v>-7.9872000000000005</v>
      </c>
      <c r="M110" s="986">
        <f t="shared" si="24"/>
        <v>-7.9872000000000005</v>
      </c>
      <c r="N110" s="986">
        <f t="shared" si="24"/>
        <v>-7.9872000000000005</v>
      </c>
      <c r="O110" s="986">
        <f t="shared" si="24"/>
        <v>-7.9872000000000005</v>
      </c>
      <c r="P110" s="986">
        <f t="shared" si="24"/>
        <v>-7.9872000000000005</v>
      </c>
      <c r="Q110" s="986">
        <f t="shared" si="24"/>
        <v>-7.9872000000000005</v>
      </c>
      <c r="R110" s="986">
        <f t="shared" si="24"/>
        <v>-7.9872000000000005</v>
      </c>
      <c r="S110" s="986">
        <f t="shared" si="24"/>
        <v>-7.9872000000000005</v>
      </c>
      <c r="T110" s="986">
        <f t="shared" si="24"/>
        <v>-7.9872000000000005</v>
      </c>
      <c r="U110" s="986">
        <f t="shared" si="24"/>
        <v>-7.9872000000000005</v>
      </c>
      <c r="V110" s="987">
        <f t="shared" si="24"/>
        <v>-7.9872000000000005</v>
      </c>
      <c r="W110" s="976"/>
      <c r="X110" s="976"/>
      <c r="Y110" s="976"/>
      <c r="Z110" s="976"/>
      <c r="AA110" s="976"/>
      <c r="AB110" s="976"/>
      <c r="AC110" s="976"/>
      <c r="AD110" s="976"/>
      <c r="AE110" s="976"/>
      <c r="AF110" s="977"/>
    </row>
    <row r="111" spans="1:32" ht="12.75">
      <c r="A111" s="950"/>
      <c r="B111" s="939"/>
      <c r="C111" s="926" t="s">
        <v>53</v>
      </c>
      <c r="D111" s="941">
        <f t="shared" si="20"/>
        <v>-57.50784</v>
      </c>
      <c r="E111" s="942">
        <f t="shared" si="21"/>
        <v>0</v>
      </c>
      <c r="F111" s="943">
        <f t="shared" si="22"/>
        <v>-57.50784</v>
      </c>
      <c r="G111" s="975"/>
      <c r="H111" s="976"/>
      <c r="I111" s="976"/>
      <c r="J111" s="977"/>
      <c r="K111" s="985">
        <f>-$D$24*$D$20</f>
        <v>-8.306688000000001</v>
      </c>
      <c r="L111" s="986">
        <f>(-$D$24-SUM($K110:K110))*$D$20</f>
        <v>-7.667712000000001</v>
      </c>
      <c r="M111" s="986">
        <f>(-$D$24-SUM($K110:L110))*$D$20</f>
        <v>-7.028736</v>
      </c>
      <c r="N111" s="986">
        <f>(-$D$24-SUM($K110:M110))*$D$20</f>
        <v>-6.38976</v>
      </c>
      <c r="O111" s="986">
        <f>(-$D$24-SUM($K110:N110))*$D$20</f>
        <v>-5.750784</v>
      </c>
      <c r="P111" s="986">
        <f>(-$D$24-SUM($K110:O110))*$D$20</f>
        <v>-5.111808000000001</v>
      </c>
      <c r="Q111" s="986">
        <f>(-$D$24-SUM($K110:P110))*$D$20</f>
        <v>-4.472832</v>
      </c>
      <c r="R111" s="986">
        <f>(-$D$24-SUM($K110:Q110))*$D$20</f>
        <v>-3.8338560000000004</v>
      </c>
      <c r="S111" s="986">
        <f>(-$D$24-SUM($K110:R110))*$D$20</f>
        <v>-3.19488</v>
      </c>
      <c r="T111" s="986">
        <f>(-$D$24-SUM($K110:S110))*$D$20</f>
        <v>-2.5559040000000004</v>
      </c>
      <c r="U111" s="986">
        <f>(-$D$24-SUM($K110:T110))*$D$20</f>
        <v>-1.9169280000000004</v>
      </c>
      <c r="V111" s="987">
        <f>(-$D$24-SUM($K110:U110))*$D$20</f>
        <v>-1.2779520000000002</v>
      </c>
      <c r="W111" s="976"/>
      <c r="X111" s="976"/>
      <c r="Y111" s="976"/>
      <c r="Z111" s="976"/>
      <c r="AA111" s="976"/>
      <c r="AB111" s="976"/>
      <c r="AC111" s="976"/>
      <c r="AD111" s="976"/>
      <c r="AE111" s="976"/>
      <c r="AF111" s="977"/>
    </row>
    <row r="112" spans="1:32" ht="12.75">
      <c r="A112" s="950"/>
      <c r="B112" s="984"/>
      <c r="C112" s="926" t="s">
        <v>5</v>
      </c>
      <c r="D112" s="941">
        <f t="shared" si="20"/>
        <v>-19.427939224979255</v>
      </c>
      <c r="E112" s="942">
        <f t="shared" si="21"/>
        <v>0</v>
      </c>
      <c r="F112" s="943">
        <f t="shared" si="22"/>
        <v>-19.427939224979255</v>
      </c>
      <c r="G112" s="975"/>
      <c r="H112" s="976"/>
      <c r="I112" s="976"/>
      <c r="J112" s="977"/>
      <c r="K112" s="985">
        <f aca="true" t="shared" si="25" ref="K112:AF112">-K43*K82</f>
        <v>-0.5672727272727273</v>
      </c>
      <c r="L112" s="986">
        <f t="shared" si="25"/>
        <v>-0.5899636363636364</v>
      </c>
      <c r="M112" s="986">
        <f t="shared" si="25"/>
        <v>-0.6135621818181818</v>
      </c>
      <c r="N112" s="986">
        <f t="shared" si="25"/>
        <v>-0.6381046690909091</v>
      </c>
      <c r="O112" s="986">
        <f t="shared" si="25"/>
        <v>-0.6636288558545456</v>
      </c>
      <c r="P112" s="986">
        <f t="shared" si="25"/>
        <v>-0.6901740100887275</v>
      </c>
      <c r="Q112" s="986">
        <f t="shared" si="25"/>
        <v>-0.7177809704922764</v>
      </c>
      <c r="R112" s="986">
        <f t="shared" si="25"/>
        <v>-0.7464922093119677</v>
      </c>
      <c r="S112" s="986">
        <f t="shared" si="25"/>
        <v>-0.7763518976844465</v>
      </c>
      <c r="T112" s="986">
        <f t="shared" si="25"/>
        <v>-0.8074059735918243</v>
      </c>
      <c r="U112" s="986">
        <f t="shared" si="25"/>
        <v>-0.8397022125354972</v>
      </c>
      <c r="V112" s="987">
        <f t="shared" si="25"/>
        <v>-0.8732903010369173</v>
      </c>
      <c r="W112" s="986">
        <f t="shared" si="25"/>
        <v>-0.908221913078394</v>
      </c>
      <c r="X112" s="986">
        <f t="shared" si="25"/>
        <v>-0.9445507896015297</v>
      </c>
      <c r="Y112" s="986">
        <f t="shared" si="25"/>
        <v>-0.9823328211855908</v>
      </c>
      <c r="Z112" s="986">
        <f t="shared" si="25"/>
        <v>-1.0216261340330146</v>
      </c>
      <c r="AA112" s="986">
        <f t="shared" si="25"/>
        <v>-1.0624911793943352</v>
      </c>
      <c r="AB112" s="986">
        <f t="shared" si="25"/>
        <v>-1.104990826570109</v>
      </c>
      <c r="AC112" s="986">
        <f t="shared" si="25"/>
        <v>-1.1491904596329132</v>
      </c>
      <c r="AD112" s="986">
        <f t="shared" si="25"/>
        <v>-1.1951580780182296</v>
      </c>
      <c r="AE112" s="986">
        <f t="shared" si="25"/>
        <v>-1.2429644011389591</v>
      </c>
      <c r="AF112" s="987">
        <f t="shared" si="25"/>
        <v>-1.2926829771845174</v>
      </c>
    </row>
    <row r="113" spans="1:32" ht="12.75">
      <c r="A113" s="939"/>
      <c r="B113" s="939"/>
      <c r="C113" s="926" t="s">
        <v>58</v>
      </c>
      <c r="D113" s="941">
        <f t="shared" si="20"/>
        <v>-139.15826235566533</v>
      </c>
      <c r="E113" s="942">
        <f t="shared" si="21"/>
        <v>0</v>
      </c>
      <c r="F113" s="943">
        <f t="shared" si="22"/>
        <v>-139.15826235566533</v>
      </c>
      <c r="G113" s="975"/>
      <c r="H113" s="976"/>
      <c r="I113" s="976"/>
      <c r="J113" s="977"/>
      <c r="K113" s="985">
        <f aca="true" t="shared" si="26" ref="K113:AF113">-$D$35*(1+$D$39)*K82</f>
        <v>-4.0632558139534884</v>
      </c>
      <c r="L113" s="986">
        <f t="shared" si="26"/>
        <v>-4.225786046511629</v>
      </c>
      <c r="M113" s="986">
        <f t="shared" si="26"/>
        <v>-4.394817488372093</v>
      </c>
      <c r="N113" s="986">
        <f t="shared" si="26"/>
        <v>-4.570610187906977</v>
      </c>
      <c r="O113" s="986">
        <f t="shared" si="26"/>
        <v>-4.753434595423257</v>
      </c>
      <c r="P113" s="986">
        <f t="shared" si="26"/>
        <v>-4.943571979240187</v>
      </c>
      <c r="Q113" s="986">
        <f t="shared" si="26"/>
        <v>-5.141314858409794</v>
      </c>
      <c r="R113" s="986">
        <f t="shared" si="26"/>
        <v>-5.346967452746187</v>
      </c>
      <c r="S113" s="986">
        <f t="shared" si="26"/>
        <v>-5.560846150856035</v>
      </c>
      <c r="T113" s="986">
        <f t="shared" si="26"/>
        <v>-5.783279996890276</v>
      </c>
      <c r="U113" s="986">
        <f t="shared" si="26"/>
        <v>-6.014611196765887</v>
      </c>
      <c r="V113" s="987">
        <f t="shared" si="26"/>
        <v>-6.255195644636523</v>
      </c>
      <c r="W113" s="986">
        <f t="shared" si="26"/>
        <v>-6.505403470421985</v>
      </c>
      <c r="X113" s="986">
        <f t="shared" si="26"/>
        <v>-6.765619609238864</v>
      </c>
      <c r="Y113" s="986">
        <f t="shared" si="26"/>
        <v>-7.036244393608419</v>
      </c>
      <c r="Z113" s="986">
        <f t="shared" si="26"/>
        <v>-7.317694169352756</v>
      </c>
      <c r="AA113" s="986">
        <f t="shared" si="26"/>
        <v>-7.610401936126867</v>
      </c>
      <c r="AB113" s="986">
        <f t="shared" si="26"/>
        <v>-7.914818013571943</v>
      </c>
      <c r="AC113" s="986">
        <f t="shared" si="26"/>
        <v>-8.23141073411482</v>
      </c>
      <c r="AD113" s="986">
        <f t="shared" si="26"/>
        <v>-8.560667163479414</v>
      </c>
      <c r="AE113" s="986">
        <f t="shared" si="26"/>
        <v>-8.903093850018593</v>
      </c>
      <c r="AF113" s="987">
        <f t="shared" si="26"/>
        <v>-9.259217604019335</v>
      </c>
    </row>
    <row r="114" spans="1:32" ht="12.75">
      <c r="A114" s="939"/>
      <c r="B114" s="939"/>
      <c r="C114" s="926" t="s">
        <v>59</v>
      </c>
      <c r="D114" s="941">
        <f t="shared" si="20"/>
        <v>-40.924456983624665</v>
      </c>
      <c r="E114" s="942">
        <f t="shared" si="21"/>
        <v>0</v>
      </c>
      <c r="F114" s="943">
        <f t="shared" si="22"/>
        <v>-40.924456983624665</v>
      </c>
      <c r="G114" s="975"/>
      <c r="H114" s="976"/>
      <c r="I114" s="976"/>
      <c r="J114" s="977"/>
      <c r="K114" s="985">
        <f aca="true" t="shared" si="27" ref="K114:AF114">-(1+$D$39)*K38*K82</f>
        <v>-1.1949454883720931</v>
      </c>
      <c r="L114" s="986">
        <f t="shared" si="27"/>
        <v>-1.242743307906977</v>
      </c>
      <c r="M114" s="986">
        <f t="shared" si="27"/>
        <v>-1.292453040223256</v>
      </c>
      <c r="N114" s="986">
        <f t="shared" si="27"/>
        <v>-1.3441511618321864</v>
      </c>
      <c r="O114" s="986">
        <f t="shared" si="27"/>
        <v>-1.3979172083054738</v>
      </c>
      <c r="P114" s="986">
        <f t="shared" si="27"/>
        <v>-1.453833896637693</v>
      </c>
      <c r="Q114" s="986">
        <f t="shared" si="27"/>
        <v>-1.5119872525032005</v>
      </c>
      <c r="R114" s="986">
        <f t="shared" si="27"/>
        <v>-1.5724667426033287</v>
      </c>
      <c r="S114" s="986">
        <f t="shared" si="27"/>
        <v>-1.6353654123074621</v>
      </c>
      <c r="T114" s="986">
        <f t="shared" si="27"/>
        <v>-1.7007800287997605</v>
      </c>
      <c r="U114" s="986">
        <f t="shared" si="27"/>
        <v>-1.7688112299517509</v>
      </c>
      <c r="V114" s="987">
        <f t="shared" si="27"/>
        <v>-1.8395636791498213</v>
      </c>
      <c r="W114" s="986">
        <f t="shared" si="27"/>
        <v>-1.913146226315814</v>
      </c>
      <c r="X114" s="986">
        <f t="shared" si="27"/>
        <v>-1.9896720753684467</v>
      </c>
      <c r="Y114" s="986">
        <f t="shared" si="27"/>
        <v>-2.0692589583831844</v>
      </c>
      <c r="Z114" s="986">
        <f t="shared" si="27"/>
        <v>-2.152029316718512</v>
      </c>
      <c r="AA114" s="986">
        <f t="shared" si="27"/>
        <v>-2.2381104893872528</v>
      </c>
      <c r="AB114" s="986">
        <f t="shared" si="27"/>
        <v>-2.327634908962743</v>
      </c>
      <c r="AC114" s="986">
        <f t="shared" si="27"/>
        <v>-2.4207403053212526</v>
      </c>
      <c r="AD114" s="986">
        <f t="shared" si="27"/>
        <v>-2.517569917534103</v>
      </c>
      <c r="AE114" s="986">
        <f t="shared" si="27"/>
        <v>-2.618272714235468</v>
      </c>
      <c r="AF114" s="987">
        <f t="shared" si="27"/>
        <v>-2.723003622804886</v>
      </c>
    </row>
    <row r="115" spans="1:32" ht="13.5" thickBot="1">
      <c r="A115" s="991"/>
      <c r="B115" s="991"/>
      <c r="C115" s="992"/>
      <c r="D115" s="993"/>
      <c r="E115" s="994"/>
      <c r="F115" s="995"/>
      <c r="G115" s="993"/>
      <c r="H115" s="994"/>
      <c r="I115" s="994"/>
      <c r="J115" s="995"/>
      <c r="K115" s="993"/>
      <c r="L115" s="994"/>
      <c r="M115" s="994"/>
      <c r="N115" s="994"/>
      <c r="O115" s="994"/>
      <c r="P115" s="994"/>
      <c r="Q115" s="994"/>
      <c r="R115" s="994"/>
      <c r="S115" s="994"/>
      <c r="T115" s="994"/>
      <c r="U115" s="994"/>
      <c r="V115" s="995"/>
      <c r="W115" s="994"/>
      <c r="X115" s="994"/>
      <c r="Y115" s="994"/>
      <c r="Z115" s="994"/>
      <c r="AA115" s="994"/>
      <c r="AB115" s="994"/>
      <c r="AC115" s="994"/>
      <c r="AD115" s="994"/>
      <c r="AE115" s="994"/>
      <c r="AF115" s="995"/>
    </row>
    <row r="116" spans="1:32" ht="12.75">
      <c r="A116" s="939"/>
      <c r="B116" s="939"/>
      <c r="C116" s="996"/>
      <c r="D116" s="997"/>
      <c r="E116" s="998"/>
      <c r="F116" s="999"/>
      <c r="G116" s="1000"/>
      <c r="H116" s="1001"/>
      <c r="I116" s="1001"/>
      <c r="J116" s="1002"/>
      <c r="K116" s="1000"/>
      <c r="L116" s="1001"/>
      <c r="M116" s="1001"/>
      <c r="N116" s="1001"/>
      <c r="O116" s="1001"/>
      <c r="P116" s="1001"/>
      <c r="Q116" s="1001"/>
      <c r="R116" s="1001"/>
      <c r="S116" s="1001"/>
      <c r="T116" s="1001"/>
      <c r="U116" s="1001"/>
      <c r="V116" s="1002"/>
      <c r="W116" s="1001"/>
      <c r="X116" s="1001"/>
      <c r="Y116" s="1001"/>
      <c r="Z116" s="1001"/>
      <c r="AA116" s="1001"/>
      <c r="AB116" s="1001"/>
      <c r="AC116" s="1001"/>
      <c r="AD116" s="1001"/>
      <c r="AE116" s="1001"/>
      <c r="AF116" s="1002"/>
    </row>
    <row r="117" spans="1:32" ht="12.75">
      <c r="A117" s="939"/>
      <c r="B117" s="939"/>
      <c r="C117" s="974" t="s">
        <v>11</v>
      </c>
      <c r="D117" s="930"/>
      <c r="E117" s="931"/>
      <c r="F117" s="932"/>
      <c r="G117" s="910" t="s">
        <v>109</v>
      </c>
      <c r="H117" s="911"/>
      <c r="I117" s="911"/>
      <c r="J117" s="912"/>
      <c r="K117" s="944">
        <f>K101+K109</f>
        <v>2.18181818181818</v>
      </c>
      <c r="L117" s="945">
        <f aca="true" t="shared" si="28" ref="L117:AF117">L101+L109</f>
        <v>2.18181818181818</v>
      </c>
      <c r="M117" s="945">
        <f t="shared" si="28"/>
        <v>2.18181818181818</v>
      </c>
      <c r="N117" s="945">
        <f t="shared" si="28"/>
        <v>2.1818181818181834</v>
      </c>
      <c r="O117" s="945">
        <f t="shared" si="28"/>
        <v>2.18181818181818</v>
      </c>
      <c r="P117" s="945">
        <f t="shared" si="28"/>
        <v>2.18181818181818</v>
      </c>
      <c r="Q117" s="945">
        <f t="shared" si="28"/>
        <v>2.18181818181818</v>
      </c>
      <c r="R117" s="945">
        <f t="shared" si="28"/>
        <v>2.18181818181818</v>
      </c>
      <c r="S117" s="945">
        <f t="shared" si="28"/>
        <v>2.18181818181818</v>
      </c>
      <c r="T117" s="945">
        <f t="shared" si="28"/>
        <v>2.18181818181818</v>
      </c>
      <c r="U117" s="945">
        <f t="shared" si="28"/>
        <v>2.1818181818181834</v>
      </c>
      <c r="V117" s="946">
        <f t="shared" si="28"/>
        <v>2.1818181818181834</v>
      </c>
      <c r="W117" s="945">
        <f t="shared" si="28"/>
        <v>11.446970181818182</v>
      </c>
      <c r="X117" s="945">
        <f t="shared" si="28"/>
        <v>11.446970181818184</v>
      </c>
      <c r="Y117" s="945">
        <f t="shared" si="28"/>
        <v>11.446970181818182</v>
      </c>
      <c r="Z117" s="945">
        <f t="shared" si="28"/>
        <v>11.446970181818182</v>
      </c>
      <c r="AA117" s="945">
        <f t="shared" si="28"/>
        <v>11.446970181818184</v>
      </c>
      <c r="AB117" s="945">
        <f t="shared" si="28"/>
        <v>11.446970181818184</v>
      </c>
      <c r="AC117" s="945">
        <f t="shared" si="28"/>
        <v>11.446970181818182</v>
      </c>
      <c r="AD117" s="945">
        <f t="shared" si="28"/>
        <v>11.446970181818184</v>
      </c>
      <c r="AE117" s="945">
        <f t="shared" si="28"/>
        <v>11.446970181818182</v>
      </c>
      <c r="AF117" s="945">
        <f t="shared" si="28"/>
        <v>11.44697018181818</v>
      </c>
    </row>
    <row r="118" spans="1:32" ht="12.75">
      <c r="A118" s="939"/>
      <c r="B118" s="939"/>
      <c r="C118" s="974"/>
      <c r="D118" s="930"/>
      <c r="E118" s="931"/>
      <c r="F118" s="932"/>
      <c r="G118" s="910"/>
      <c r="H118" s="911"/>
      <c r="I118" s="911"/>
      <c r="J118" s="912"/>
      <c r="K118" s="910"/>
      <c r="L118" s="911"/>
      <c r="M118" s="911"/>
      <c r="N118" s="911"/>
      <c r="O118" s="911"/>
      <c r="P118" s="911"/>
      <c r="Q118" s="911"/>
      <c r="R118" s="911"/>
      <c r="S118" s="911"/>
      <c r="T118" s="911"/>
      <c r="U118" s="911"/>
      <c r="V118" s="912"/>
      <c r="W118" s="911"/>
      <c r="X118" s="911"/>
      <c r="Y118" s="911"/>
      <c r="Z118" s="911"/>
      <c r="AA118" s="911"/>
      <c r="AB118" s="911"/>
      <c r="AC118" s="911"/>
      <c r="AD118" s="911"/>
      <c r="AE118" s="911"/>
      <c r="AF118" s="912"/>
    </row>
    <row r="119" spans="1:32" ht="12.75">
      <c r="A119" s="950"/>
      <c r="B119" s="939"/>
      <c r="C119" s="974" t="s">
        <v>12</v>
      </c>
      <c r="D119" s="930"/>
      <c r="E119" s="931"/>
      <c r="F119" s="932"/>
      <c r="G119" s="910"/>
      <c r="H119" s="911"/>
      <c r="I119" s="911"/>
      <c r="J119" s="912"/>
      <c r="K119" s="944">
        <f aca="true" t="shared" si="29" ref="K119:AF119">-K117*$D$45</f>
        <v>-0.3054545454545452</v>
      </c>
      <c r="L119" s="945">
        <f t="shared" si="29"/>
        <v>-0.3054545454545452</v>
      </c>
      <c r="M119" s="945">
        <f t="shared" si="29"/>
        <v>-0.3054545454545452</v>
      </c>
      <c r="N119" s="945">
        <f t="shared" si="29"/>
        <v>-0.3054545454545457</v>
      </c>
      <c r="O119" s="945">
        <f t="shared" si="29"/>
        <v>-0.3054545454545452</v>
      </c>
      <c r="P119" s="945">
        <f t="shared" si="29"/>
        <v>-0.3054545454545452</v>
      </c>
      <c r="Q119" s="945">
        <f t="shared" si="29"/>
        <v>-0.3054545454545452</v>
      </c>
      <c r="R119" s="945">
        <f t="shared" si="29"/>
        <v>-0.3054545454545452</v>
      </c>
      <c r="S119" s="945">
        <f t="shared" si="29"/>
        <v>-0.3054545454545452</v>
      </c>
      <c r="T119" s="945">
        <f t="shared" si="29"/>
        <v>-0.3054545454545452</v>
      </c>
      <c r="U119" s="945">
        <f t="shared" si="29"/>
        <v>-0.3054545454545457</v>
      </c>
      <c r="V119" s="946">
        <f t="shared" si="29"/>
        <v>-0.3054545454545457</v>
      </c>
      <c r="W119" s="945">
        <f t="shared" si="29"/>
        <v>-1.6025758254545457</v>
      </c>
      <c r="X119" s="945">
        <f t="shared" si="29"/>
        <v>-1.602575825454546</v>
      </c>
      <c r="Y119" s="945">
        <f t="shared" si="29"/>
        <v>-1.6025758254545457</v>
      </c>
      <c r="Z119" s="945">
        <f t="shared" si="29"/>
        <v>-1.6025758254545457</v>
      </c>
      <c r="AA119" s="945">
        <f t="shared" si="29"/>
        <v>-1.602575825454546</v>
      </c>
      <c r="AB119" s="945">
        <f t="shared" si="29"/>
        <v>-1.602575825454546</v>
      </c>
      <c r="AC119" s="945">
        <f t="shared" si="29"/>
        <v>-1.6025758254545457</v>
      </c>
      <c r="AD119" s="945">
        <f t="shared" si="29"/>
        <v>-1.602575825454546</v>
      </c>
      <c r="AE119" s="945">
        <f t="shared" si="29"/>
        <v>-1.6025758254545457</v>
      </c>
      <c r="AF119" s="946">
        <f t="shared" si="29"/>
        <v>-1.6025758254545455</v>
      </c>
    </row>
    <row r="120" spans="1:32" ht="12.75">
      <c r="A120" s="939"/>
      <c r="B120" s="939"/>
      <c r="C120" s="974"/>
      <c r="D120" s="930"/>
      <c r="E120" s="931"/>
      <c r="F120" s="932"/>
      <c r="G120" s="910"/>
      <c r="H120" s="911"/>
      <c r="I120" s="911"/>
      <c r="J120" s="912"/>
      <c r="K120" s="910"/>
      <c r="L120" s="911"/>
      <c r="M120" s="911"/>
      <c r="N120" s="911"/>
      <c r="O120" s="911"/>
      <c r="P120" s="911"/>
      <c r="Q120" s="911"/>
      <c r="R120" s="911"/>
      <c r="S120" s="911"/>
      <c r="T120" s="911"/>
      <c r="U120" s="911"/>
      <c r="V120" s="912"/>
      <c r="W120" s="911"/>
      <c r="X120" s="911"/>
      <c r="Y120" s="911"/>
      <c r="Z120" s="911"/>
      <c r="AA120" s="911"/>
      <c r="AB120" s="911"/>
      <c r="AC120" s="911"/>
      <c r="AD120" s="911"/>
      <c r="AE120" s="911"/>
      <c r="AF120" s="912"/>
    </row>
    <row r="121" spans="1:32" ht="12.75">
      <c r="A121" s="939"/>
      <c r="B121" s="939"/>
      <c r="C121" s="1003" t="s">
        <v>65</v>
      </c>
      <c r="D121" s="941"/>
      <c r="E121" s="942"/>
      <c r="F121" s="943"/>
      <c r="G121" s="944">
        <f>G94+G86</f>
        <v>12.076799999999999</v>
      </c>
      <c r="H121" s="945">
        <f>H94+H86</f>
        <v>11.923200000000001</v>
      </c>
      <c r="I121" s="945">
        <f>I94+I86</f>
        <v>-18</v>
      </c>
      <c r="J121" s="946">
        <f>J94+J86</f>
        <v>-6</v>
      </c>
      <c r="K121" s="944">
        <f>K117+K119</f>
        <v>1.8763636363636347</v>
      </c>
      <c r="L121" s="945">
        <f aca="true" t="shared" si="30" ref="L121:AF121">L117+L119</f>
        <v>1.8763636363636347</v>
      </c>
      <c r="M121" s="945">
        <f t="shared" si="30"/>
        <v>1.8763636363636347</v>
      </c>
      <c r="N121" s="945">
        <f t="shared" si="30"/>
        <v>1.8763636363636378</v>
      </c>
      <c r="O121" s="945">
        <f t="shared" si="30"/>
        <v>1.8763636363636347</v>
      </c>
      <c r="P121" s="945">
        <f t="shared" si="30"/>
        <v>1.8763636363636347</v>
      </c>
      <c r="Q121" s="945">
        <f t="shared" si="30"/>
        <v>1.8763636363636347</v>
      </c>
      <c r="R121" s="945">
        <f t="shared" si="30"/>
        <v>1.8763636363636347</v>
      </c>
      <c r="S121" s="945">
        <f t="shared" si="30"/>
        <v>1.8763636363636347</v>
      </c>
      <c r="T121" s="945">
        <f t="shared" si="30"/>
        <v>1.8763636363636347</v>
      </c>
      <c r="U121" s="945">
        <f t="shared" si="30"/>
        <v>1.8763636363636378</v>
      </c>
      <c r="V121" s="946">
        <f t="shared" si="30"/>
        <v>1.8763636363636378</v>
      </c>
      <c r="W121" s="945">
        <f t="shared" si="30"/>
        <v>9.844394356363637</v>
      </c>
      <c r="X121" s="945">
        <f t="shared" si="30"/>
        <v>9.844394356363638</v>
      </c>
      <c r="Y121" s="945">
        <f t="shared" si="30"/>
        <v>9.844394356363637</v>
      </c>
      <c r="Z121" s="945">
        <f t="shared" si="30"/>
        <v>9.844394356363637</v>
      </c>
      <c r="AA121" s="945">
        <f t="shared" si="30"/>
        <v>9.844394356363638</v>
      </c>
      <c r="AB121" s="945">
        <f t="shared" si="30"/>
        <v>9.844394356363638</v>
      </c>
      <c r="AC121" s="945">
        <f t="shared" si="30"/>
        <v>9.844394356363637</v>
      </c>
      <c r="AD121" s="945">
        <f t="shared" si="30"/>
        <v>9.844394356363638</v>
      </c>
      <c r="AE121" s="945">
        <f t="shared" si="30"/>
        <v>9.844394356363637</v>
      </c>
      <c r="AF121" s="946">
        <f t="shared" si="30"/>
        <v>9.844394356363635</v>
      </c>
    </row>
    <row r="122" spans="1:32" ht="12.75">
      <c r="A122" s="939"/>
      <c r="B122" s="939"/>
      <c r="C122" s="974" t="s">
        <v>60</v>
      </c>
      <c r="D122" s="930"/>
      <c r="E122" s="931"/>
      <c r="F122" s="932"/>
      <c r="G122" s="944">
        <f>G121</f>
        <v>12.076799999999999</v>
      </c>
      <c r="H122" s="945">
        <f aca="true" t="shared" si="31" ref="H122:AF122">G122+H121</f>
        <v>24</v>
      </c>
      <c r="I122" s="945">
        <f t="shared" si="31"/>
        <v>6</v>
      </c>
      <c r="J122" s="946">
        <f t="shared" si="31"/>
        <v>0</v>
      </c>
      <c r="K122" s="944">
        <f t="shared" si="31"/>
        <v>1.8763636363636347</v>
      </c>
      <c r="L122" s="945">
        <f t="shared" si="31"/>
        <v>3.7527272727272694</v>
      </c>
      <c r="M122" s="945">
        <f t="shared" si="31"/>
        <v>5.629090909090904</v>
      </c>
      <c r="N122" s="945">
        <f t="shared" si="31"/>
        <v>7.505454545454541</v>
      </c>
      <c r="O122" s="945">
        <f t="shared" si="31"/>
        <v>9.381818181818176</v>
      </c>
      <c r="P122" s="945">
        <f t="shared" si="31"/>
        <v>11.25818181818181</v>
      </c>
      <c r="Q122" s="945">
        <f t="shared" si="31"/>
        <v>13.134545454545446</v>
      </c>
      <c r="R122" s="945">
        <f t="shared" si="31"/>
        <v>15.010909090909081</v>
      </c>
      <c r="S122" s="945">
        <f t="shared" si="31"/>
        <v>16.887272727272716</v>
      </c>
      <c r="T122" s="945">
        <f t="shared" si="31"/>
        <v>18.76363636363635</v>
      </c>
      <c r="U122" s="945">
        <f t="shared" si="31"/>
        <v>20.63999999999999</v>
      </c>
      <c r="V122" s="946">
        <f t="shared" si="31"/>
        <v>22.51636363636363</v>
      </c>
      <c r="W122" s="945">
        <f t="shared" si="31"/>
        <v>32.360757992727265</v>
      </c>
      <c r="X122" s="945">
        <f t="shared" si="31"/>
        <v>42.2051523490909</v>
      </c>
      <c r="Y122" s="945">
        <f t="shared" si="31"/>
        <v>52.04954670545454</v>
      </c>
      <c r="Z122" s="945">
        <f t="shared" si="31"/>
        <v>61.893941061818175</v>
      </c>
      <c r="AA122" s="945">
        <f t="shared" si="31"/>
        <v>71.73833541818182</v>
      </c>
      <c r="AB122" s="945">
        <f t="shared" si="31"/>
        <v>81.58272977454546</v>
      </c>
      <c r="AC122" s="945">
        <f t="shared" si="31"/>
        <v>91.42712413090909</v>
      </c>
      <c r="AD122" s="945">
        <f t="shared" si="31"/>
        <v>101.27151848727273</v>
      </c>
      <c r="AE122" s="945">
        <f t="shared" si="31"/>
        <v>111.11591284363637</v>
      </c>
      <c r="AF122" s="946">
        <f t="shared" si="31"/>
        <v>120.9603072</v>
      </c>
    </row>
    <row r="123" spans="1:32" ht="12.75">
      <c r="A123" s="939"/>
      <c r="B123" s="939"/>
      <c r="C123" s="974"/>
      <c r="D123" s="930"/>
      <c r="E123" s="931"/>
      <c r="F123" s="932"/>
      <c r="G123" s="910"/>
      <c r="H123" s="911"/>
      <c r="I123" s="911"/>
      <c r="J123" s="912"/>
      <c r="K123" s="910"/>
      <c r="L123" s="911"/>
      <c r="M123" s="911"/>
      <c r="N123" s="911"/>
      <c r="O123" s="911"/>
      <c r="P123" s="911"/>
      <c r="Q123" s="911"/>
      <c r="R123" s="911"/>
      <c r="S123" s="911"/>
      <c r="T123" s="911"/>
      <c r="U123" s="911"/>
      <c r="V123" s="912"/>
      <c r="W123" s="911"/>
      <c r="X123" s="911"/>
      <c r="Y123" s="911"/>
      <c r="Z123" s="911"/>
      <c r="AA123" s="911"/>
      <c r="AB123" s="911"/>
      <c r="AC123" s="911"/>
      <c r="AD123" s="911"/>
      <c r="AE123" s="911"/>
      <c r="AF123" s="912"/>
    </row>
    <row r="124" spans="1:32" ht="12.75">
      <c r="A124" s="939"/>
      <c r="B124" s="939"/>
      <c r="C124" s="974" t="s">
        <v>15</v>
      </c>
      <c r="D124" s="930"/>
      <c r="E124" s="931"/>
      <c r="F124" s="932"/>
      <c r="G124" s="910"/>
      <c r="H124" s="911"/>
      <c r="I124" s="911"/>
      <c r="J124" s="912"/>
      <c r="K124" s="923"/>
      <c r="L124" s="924"/>
      <c r="M124" s="924"/>
      <c r="N124" s="924"/>
      <c r="O124" s="924"/>
      <c r="P124" s="924"/>
      <c r="Q124" s="924"/>
      <c r="R124" s="924"/>
      <c r="S124" s="924"/>
      <c r="T124" s="924"/>
      <c r="U124" s="924"/>
      <c r="V124" s="925"/>
      <c r="W124" s="924"/>
      <c r="X124" s="924"/>
      <c r="Y124" s="924"/>
      <c r="Z124" s="924"/>
      <c r="AA124" s="924"/>
      <c r="AB124" s="924"/>
      <c r="AC124" s="924"/>
      <c r="AD124" s="924"/>
      <c r="AE124" s="924"/>
      <c r="AF124" s="925"/>
    </row>
    <row r="125" spans="1:32" ht="12.75">
      <c r="A125" s="939"/>
      <c r="B125" s="939"/>
      <c r="C125" s="1004" t="s">
        <v>98</v>
      </c>
      <c r="D125" s="941">
        <f>SUM(G125:AF125)</f>
        <v>294.00576000000007</v>
      </c>
      <c r="E125" s="942">
        <f>SUM(G125:J125)</f>
        <v>0</v>
      </c>
      <c r="F125" s="943">
        <f>SUM(K125:AF125)</f>
        <v>294.00576000000007</v>
      </c>
      <c r="G125" s="910"/>
      <c r="H125" s="911"/>
      <c r="I125" s="911"/>
      <c r="J125" s="912"/>
      <c r="K125" s="944">
        <f aca="true" t="shared" si="32" ref="K125:AF125">K101+K113+K114+K112</f>
        <v>18.475706181818182</v>
      </c>
      <c r="L125" s="945">
        <f t="shared" si="32"/>
        <v>17.836730181818183</v>
      </c>
      <c r="M125" s="945">
        <f t="shared" si="32"/>
        <v>17.197754181818183</v>
      </c>
      <c r="N125" s="945">
        <f t="shared" si="32"/>
        <v>16.558778181818184</v>
      </c>
      <c r="O125" s="945">
        <f t="shared" si="32"/>
        <v>15.919802181818179</v>
      </c>
      <c r="P125" s="945">
        <f t="shared" si="32"/>
        <v>15.280826181818183</v>
      </c>
      <c r="Q125" s="945">
        <f t="shared" si="32"/>
        <v>14.641850181818183</v>
      </c>
      <c r="R125" s="945">
        <f t="shared" si="32"/>
        <v>14.002874181818182</v>
      </c>
      <c r="S125" s="945">
        <f t="shared" si="32"/>
        <v>13.363898181818179</v>
      </c>
      <c r="T125" s="945">
        <f t="shared" si="32"/>
        <v>12.72492218181818</v>
      </c>
      <c r="U125" s="945">
        <f t="shared" si="32"/>
        <v>12.085946181818182</v>
      </c>
      <c r="V125" s="946">
        <f t="shared" si="32"/>
        <v>11.446970181818186</v>
      </c>
      <c r="W125" s="945">
        <f t="shared" si="32"/>
        <v>11.446970181818182</v>
      </c>
      <c r="X125" s="945">
        <f t="shared" si="32"/>
        <v>11.446970181818182</v>
      </c>
      <c r="Y125" s="945">
        <f t="shared" si="32"/>
        <v>11.446970181818182</v>
      </c>
      <c r="Z125" s="945">
        <f t="shared" si="32"/>
        <v>11.446970181818182</v>
      </c>
      <c r="AA125" s="945">
        <f t="shared" si="32"/>
        <v>11.446970181818184</v>
      </c>
      <c r="AB125" s="945">
        <f t="shared" si="32"/>
        <v>11.446970181818184</v>
      </c>
      <c r="AC125" s="945">
        <f t="shared" si="32"/>
        <v>11.446970181818182</v>
      </c>
      <c r="AD125" s="945">
        <f t="shared" si="32"/>
        <v>11.446970181818186</v>
      </c>
      <c r="AE125" s="945">
        <f t="shared" si="32"/>
        <v>11.446970181818182</v>
      </c>
      <c r="AF125" s="945">
        <f t="shared" si="32"/>
        <v>11.446970181818179</v>
      </c>
    </row>
    <row r="126" spans="1:32" ht="12.75">
      <c r="A126" s="939"/>
      <c r="B126" s="939"/>
      <c r="C126" s="1004" t="s">
        <v>61</v>
      </c>
      <c r="D126" s="941">
        <f>SUM(G126:AF126)</f>
        <v>140.65152</v>
      </c>
      <c r="E126" s="942">
        <f>SUM(G126:J126)</f>
        <v>0</v>
      </c>
      <c r="F126" s="943">
        <f>SUM(K126:AF126)</f>
        <v>140.65152</v>
      </c>
      <c r="G126" s="910"/>
      <c r="H126" s="911"/>
      <c r="I126" s="911"/>
      <c r="J126" s="912"/>
      <c r="K126" s="944">
        <f aca="true" t="shared" si="33" ref="K126:AF126">K125+K110+K111</f>
        <v>2.18181818181818</v>
      </c>
      <c r="L126" s="945">
        <f t="shared" si="33"/>
        <v>2.1818181818181808</v>
      </c>
      <c r="M126" s="945">
        <f t="shared" si="33"/>
        <v>2.1818181818181817</v>
      </c>
      <c r="N126" s="945">
        <f t="shared" si="33"/>
        <v>2.1818181818181825</v>
      </c>
      <c r="O126" s="945">
        <f t="shared" si="33"/>
        <v>2.181818181818178</v>
      </c>
      <c r="P126" s="945">
        <f t="shared" si="33"/>
        <v>2.1818181818181817</v>
      </c>
      <c r="Q126" s="945">
        <f t="shared" si="33"/>
        <v>2.1818181818181825</v>
      </c>
      <c r="R126" s="945">
        <f t="shared" si="33"/>
        <v>2.181818181818181</v>
      </c>
      <c r="S126" s="945">
        <f t="shared" si="33"/>
        <v>2.1818181818181785</v>
      </c>
      <c r="T126" s="945">
        <f t="shared" si="33"/>
        <v>2.1818181818181785</v>
      </c>
      <c r="U126" s="945">
        <f t="shared" si="33"/>
        <v>2.1818181818181808</v>
      </c>
      <c r="V126" s="946">
        <f t="shared" si="33"/>
        <v>2.181818181818185</v>
      </c>
      <c r="W126" s="945">
        <f t="shared" si="33"/>
        <v>11.446970181818182</v>
      </c>
      <c r="X126" s="945">
        <f t="shared" si="33"/>
        <v>11.446970181818182</v>
      </c>
      <c r="Y126" s="945">
        <f t="shared" si="33"/>
        <v>11.446970181818182</v>
      </c>
      <c r="Z126" s="945">
        <f t="shared" si="33"/>
        <v>11.446970181818182</v>
      </c>
      <c r="AA126" s="945">
        <f t="shared" si="33"/>
        <v>11.446970181818184</v>
      </c>
      <c r="AB126" s="945">
        <f t="shared" si="33"/>
        <v>11.446970181818184</v>
      </c>
      <c r="AC126" s="945">
        <f t="shared" si="33"/>
        <v>11.446970181818182</v>
      </c>
      <c r="AD126" s="945">
        <f t="shared" si="33"/>
        <v>11.446970181818186</v>
      </c>
      <c r="AE126" s="945">
        <f t="shared" si="33"/>
        <v>11.446970181818182</v>
      </c>
      <c r="AF126" s="946">
        <f t="shared" si="33"/>
        <v>11.446970181818179</v>
      </c>
    </row>
    <row r="127" spans="1:32" ht="12.75">
      <c r="A127" s="939"/>
      <c r="B127" s="939"/>
      <c r="C127" s="1004" t="s">
        <v>62</v>
      </c>
      <c r="D127" s="941">
        <f>SUM(G127:AF127)</f>
        <v>120.9603072</v>
      </c>
      <c r="E127" s="942">
        <f>SUM(G127:J127)</f>
        <v>0</v>
      </c>
      <c r="F127" s="943">
        <f>SUM(K127:AF127)</f>
        <v>120.9603072</v>
      </c>
      <c r="G127" s="910"/>
      <c r="H127" s="911"/>
      <c r="I127" s="911"/>
      <c r="J127" s="912"/>
      <c r="K127" s="944">
        <f>K126+K119</f>
        <v>1.8763636363636347</v>
      </c>
      <c r="L127" s="945">
        <f aca="true" t="shared" si="34" ref="L127:AF127">L126+L119</f>
        <v>1.8763636363636356</v>
      </c>
      <c r="M127" s="945">
        <f t="shared" si="34"/>
        <v>1.8763636363636365</v>
      </c>
      <c r="N127" s="945">
        <f t="shared" si="34"/>
        <v>1.876363636363637</v>
      </c>
      <c r="O127" s="945">
        <f t="shared" si="34"/>
        <v>1.876363636363633</v>
      </c>
      <c r="P127" s="945">
        <f t="shared" si="34"/>
        <v>1.8763636363636365</v>
      </c>
      <c r="Q127" s="945">
        <f t="shared" si="34"/>
        <v>1.8763636363636373</v>
      </c>
      <c r="R127" s="945">
        <f t="shared" si="34"/>
        <v>1.876363636363636</v>
      </c>
      <c r="S127" s="945">
        <f t="shared" si="34"/>
        <v>1.8763636363636333</v>
      </c>
      <c r="T127" s="945">
        <f t="shared" si="34"/>
        <v>1.8763636363636333</v>
      </c>
      <c r="U127" s="945">
        <f t="shared" si="34"/>
        <v>1.8763636363636351</v>
      </c>
      <c r="V127" s="946">
        <f t="shared" si="34"/>
        <v>1.8763636363636396</v>
      </c>
      <c r="W127" s="945">
        <f t="shared" si="34"/>
        <v>9.844394356363637</v>
      </c>
      <c r="X127" s="945">
        <f t="shared" si="34"/>
        <v>9.844394356363637</v>
      </c>
      <c r="Y127" s="945">
        <f t="shared" si="34"/>
        <v>9.844394356363637</v>
      </c>
      <c r="Z127" s="945">
        <f t="shared" si="34"/>
        <v>9.844394356363637</v>
      </c>
      <c r="AA127" s="945">
        <f t="shared" si="34"/>
        <v>9.844394356363638</v>
      </c>
      <c r="AB127" s="945">
        <f t="shared" si="34"/>
        <v>9.844394356363638</v>
      </c>
      <c r="AC127" s="945">
        <f t="shared" si="34"/>
        <v>9.844394356363637</v>
      </c>
      <c r="AD127" s="945">
        <f t="shared" si="34"/>
        <v>9.84439435636364</v>
      </c>
      <c r="AE127" s="945">
        <f t="shared" si="34"/>
        <v>9.844394356363637</v>
      </c>
      <c r="AF127" s="946">
        <f t="shared" si="34"/>
        <v>9.844394356363633</v>
      </c>
    </row>
    <row r="128" spans="1:32" ht="13.5" thickBot="1">
      <c r="A128" s="991"/>
      <c r="B128" s="991"/>
      <c r="C128" s="1005"/>
      <c r="D128" s="1006"/>
      <c r="E128" s="1007"/>
      <c r="F128" s="1008"/>
      <c r="G128" s="890"/>
      <c r="H128" s="891"/>
      <c r="I128" s="891"/>
      <c r="J128" s="838"/>
      <c r="K128" s="883"/>
      <c r="L128" s="884"/>
      <c r="M128" s="884"/>
      <c r="N128" s="884"/>
      <c r="O128" s="884"/>
      <c r="P128" s="884"/>
      <c r="Q128" s="884"/>
      <c r="R128" s="884"/>
      <c r="S128" s="884"/>
      <c r="T128" s="884"/>
      <c r="U128" s="884"/>
      <c r="V128" s="885"/>
      <c r="W128" s="884"/>
      <c r="X128" s="884"/>
      <c r="Y128" s="884"/>
      <c r="Z128" s="884"/>
      <c r="AA128" s="884"/>
      <c r="AB128" s="884"/>
      <c r="AC128" s="884"/>
      <c r="AD128" s="884"/>
      <c r="AE128" s="884"/>
      <c r="AF128" s="885"/>
    </row>
    <row r="129" spans="1:32" ht="12.75">
      <c r="A129" s="869"/>
      <c r="B129" s="739"/>
      <c r="C129" s="1009"/>
      <c r="D129" s="1010"/>
      <c r="E129" s="1011"/>
      <c r="F129" s="1012"/>
      <c r="G129" s="898"/>
      <c r="H129" s="899"/>
      <c r="I129" s="899"/>
      <c r="J129" s="840"/>
      <c r="K129" s="1013"/>
      <c r="L129" s="1014"/>
      <c r="M129" s="1014"/>
      <c r="N129" s="1014"/>
      <c r="O129" s="1014"/>
      <c r="P129" s="1014"/>
      <c r="Q129" s="1014"/>
      <c r="R129" s="1014"/>
      <c r="S129" s="1014"/>
      <c r="T129" s="1014"/>
      <c r="U129" s="1014"/>
      <c r="V129" s="1015"/>
      <c r="W129" s="1014"/>
      <c r="X129" s="1014"/>
      <c r="Y129" s="1014"/>
      <c r="Z129" s="1014"/>
      <c r="AA129" s="1014"/>
      <c r="AB129" s="1014"/>
      <c r="AC129" s="1014"/>
      <c r="AD129" s="1014"/>
      <c r="AE129" s="1014"/>
      <c r="AF129" s="1015"/>
    </row>
    <row r="130" spans="1:32" ht="12.75">
      <c r="A130" s="1016"/>
      <c r="B130" s="833"/>
      <c r="C130" s="1017" t="s">
        <v>13</v>
      </c>
      <c r="D130" s="930">
        <f>SUM(G130:AF130)</f>
        <v>96.96030719999999</v>
      </c>
      <c r="E130" s="931">
        <f>SUM(G130:J130)</f>
        <v>-24</v>
      </c>
      <c r="F130" s="932">
        <f>SUM(K130:AF130)</f>
        <v>120.9603072</v>
      </c>
      <c r="G130" s="978">
        <f>-G96</f>
        <v>0</v>
      </c>
      <c r="H130" s="979">
        <f>-H96</f>
        <v>0</v>
      </c>
      <c r="I130" s="979">
        <f>-I96</f>
        <v>-12</v>
      </c>
      <c r="J130" s="980">
        <f>-J96</f>
        <v>-12</v>
      </c>
      <c r="K130" s="1018">
        <f>K127</f>
        <v>1.8763636363636347</v>
      </c>
      <c r="L130" s="1019">
        <f aca="true" t="shared" si="35" ref="L130:AF130">L127</f>
        <v>1.8763636363636356</v>
      </c>
      <c r="M130" s="1019">
        <f t="shared" si="35"/>
        <v>1.8763636363636365</v>
      </c>
      <c r="N130" s="1019">
        <f t="shared" si="35"/>
        <v>1.876363636363637</v>
      </c>
      <c r="O130" s="1019">
        <f t="shared" si="35"/>
        <v>1.876363636363633</v>
      </c>
      <c r="P130" s="1019">
        <f t="shared" si="35"/>
        <v>1.8763636363636365</v>
      </c>
      <c r="Q130" s="1019">
        <f t="shared" si="35"/>
        <v>1.8763636363636373</v>
      </c>
      <c r="R130" s="1019">
        <f t="shared" si="35"/>
        <v>1.876363636363636</v>
      </c>
      <c r="S130" s="1019">
        <f t="shared" si="35"/>
        <v>1.8763636363636333</v>
      </c>
      <c r="T130" s="1019">
        <f t="shared" si="35"/>
        <v>1.8763636363636333</v>
      </c>
      <c r="U130" s="1019">
        <f t="shared" si="35"/>
        <v>1.8763636363636351</v>
      </c>
      <c r="V130" s="1020">
        <f t="shared" si="35"/>
        <v>1.8763636363636396</v>
      </c>
      <c r="W130" s="1019">
        <f t="shared" si="35"/>
        <v>9.844394356363637</v>
      </c>
      <c r="X130" s="1019">
        <f t="shared" si="35"/>
        <v>9.844394356363637</v>
      </c>
      <c r="Y130" s="1019">
        <f t="shared" si="35"/>
        <v>9.844394356363637</v>
      </c>
      <c r="Z130" s="1019">
        <f t="shared" si="35"/>
        <v>9.844394356363637</v>
      </c>
      <c r="AA130" s="1019">
        <f t="shared" si="35"/>
        <v>9.844394356363638</v>
      </c>
      <c r="AB130" s="1019">
        <f t="shared" si="35"/>
        <v>9.844394356363638</v>
      </c>
      <c r="AC130" s="1019">
        <f t="shared" si="35"/>
        <v>9.844394356363637</v>
      </c>
      <c r="AD130" s="1019">
        <f t="shared" si="35"/>
        <v>9.84439435636364</v>
      </c>
      <c r="AE130" s="1019">
        <f t="shared" si="35"/>
        <v>9.844394356363637</v>
      </c>
      <c r="AF130" s="1020">
        <f t="shared" si="35"/>
        <v>9.844394356363633</v>
      </c>
    </row>
    <row r="131" spans="1:32" ht="12.75">
      <c r="A131" s="880"/>
      <c r="B131" s="766"/>
      <c r="C131" s="1021"/>
      <c r="D131" s="1022"/>
      <c r="E131" s="1023"/>
      <c r="F131" s="1024"/>
      <c r="G131" s="1025"/>
      <c r="H131" s="802"/>
      <c r="I131" s="802"/>
      <c r="J131" s="848"/>
      <c r="K131" s="1026"/>
      <c r="L131" s="1027"/>
      <c r="M131" s="1027"/>
      <c r="N131" s="1027"/>
      <c r="O131" s="1027"/>
      <c r="P131" s="1027"/>
      <c r="Q131" s="1027"/>
      <c r="R131" s="1027"/>
      <c r="S131" s="1027"/>
      <c r="T131" s="1027"/>
      <c r="U131" s="1027"/>
      <c r="V131" s="1028"/>
      <c r="W131" s="1027"/>
      <c r="X131" s="1027"/>
      <c r="Y131" s="1027"/>
      <c r="Z131" s="1027"/>
      <c r="AA131" s="1027"/>
      <c r="AB131" s="1027"/>
      <c r="AC131" s="1027"/>
      <c r="AD131" s="1027"/>
      <c r="AE131" s="1027"/>
      <c r="AF131" s="1028"/>
    </row>
    <row r="132" spans="1:32" ht="12.75">
      <c r="A132" s="1029"/>
      <c r="B132" s="794"/>
      <c r="C132" s="1030" t="s">
        <v>36</v>
      </c>
      <c r="D132" s="1031">
        <f>AF132</f>
        <v>0.12167799510309174</v>
      </c>
      <c r="E132" s="1032"/>
      <c r="F132" s="1033"/>
      <c r="G132" s="1034" t="s">
        <v>109</v>
      </c>
      <c r="H132" s="1035" t="s">
        <v>109</v>
      </c>
      <c r="I132" s="1035" t="s">
        <v>109</v>
      </c>
      <c r="J132" s="1036" t="s">
        <v>109</v>
      </c>
      <c r="K132" s="1035">
        <f>IF(SUM($G$130:K130)&gt;0,IRR($G$130:K130),0)</f>
        <v>0</v>
      </c>
      <c r="L132" s="1035">
        <f>IF(SUM($G$130:L130)&gt;0,IRR($G$130:L130),0)</f>
        <v>0</v>
      </c>
      <c r="M132" s="1035">
        <f>IF(SUM($G$130:M130)&gt;0,IRR($G$130:M130),0)</f>
        <v>0</v>
      </c>
      <c r="N132" s="1035">
        <f>IF(SUM($G$130:N130)&gt;0,IRR($G$130:N130),0)</f>
        <v>0</v>
      </c>
      <c r="O132" s="1035">
        <f>IF(SUM($G$130:O130)&gt;0,IRR($G$130:O130),0)</f>
        <v>0</v>
      </c>
      <c r="P132" s="1035">
        <f>IF(SUM($G$130:P130)&gt;0,IRR($G$130:P130),0)</f>
        <v>0</v>
      </c>
      <c r="Q132" s="1035">
        <f>IF(SUM($G$130:Q130)&gt;0,IRR($G$130:Q130),0)</f>
        <v>0</v>
      </c>
      <c r="R132" s="1035">
        <f>IF(SUM($G$130:R130)&gt;0,IRR($G$130:R130),0)</f>
        <v>0</v>
      </c>
      <c r="S132" s="1035">
        <f>IRR($G130:S130)</f>
        <v>-0.05982913803646239</v>
      </c>
      <c r="T132" s="1035">
        <f>IRR($G130:T130)</f>
        <v>-0.039171319547043226</v>
      </c>
      <c r="U132" s="1035">
        <f>IRR($G130:U130)</f>
        <v>-0.02255513682288668</v>
      </c>
      <c r="V132" s="1036">
        <f>IRR($G130:V130)</f>
        <v>-0.009006912136152345</v>
      </c>
      <c r="W132" s="1035">
        <f>IRR($G130:W130)</f>
        <v>0.0350327490213449</v>
      </c>
      <c r="X132" s="1035">
        <f>IRR($G130:X130)</f>
        <v>0.05990944715776769</v>
      </c>
      <c r="Y132" s="1035">
        <f>IRR($G130:Y130)</f>
        <v>0.07660688499951207</v>
      </c>
      <c r="Z132" s="1035">
        <f>IRR($G130:Z130)</f>
        <v>0.08868159459499547</v>
      </c>
      <c r="AA132" s="1035">
        <f>IRR($G130:AA130)</f>
        <v>0.09779530247267565</v>
      </c>
      <c r="AB132" s="1035">
        <f>IRR($G130:AB130)</f>
        <v>0.10487106302366822</v>
      </c>
      <c r="AC132" s="1035">
        <f>IRR($G130:AC130)</f>
        <v>0.11047684968228877</v>
      </c>
      <c r="AD132" s="1035">
        <f>IRR($G130:AD130)</f>
        <v>0.11498661068503968</v>
      </c>
      <c r="AE132" s="1035">
        <f>IRR($G130:AE130)</f>
        <v>0.11865866843252304</v>
      </c>
      <c r="AF132" s="1036">
        <f>IRR($G130:AF130)</f>
        <v>0.12167799510309174</v>
      </c>
    </row>
    <row r="133" spans="1:32" ht="12.75">
      <c r="A133" s="1029"/>
      <c r="B133" s="794"/>
      <c r="C133" s="1030"/>
      <c r="D133" s="1037"/>
      <c r="E133" s="1032"/>
      <c r="F133" s="1033"/>
      <c r="G133" s="1034"/>
      <c r="H133" s="1035"/>
      <c r="I133" s="1035"/>
      <c r="J133" s="1036"/>
      <c r="K133" s="1034"/>
      <c r="L133" s="1035"/>
      <c r="M133" s="1035"/>
      <c r="N133" s="1035"/>
      <c r="O133" s="1035"/>
      <c r="P133" s="1035"/>
      <c r="Q133" s="1035"/>
      <c r="R133" s="1035"/>
      <c r="S133" s="1035"/>
      <c r="T133" s="1035"/>
      <c r="U133" s="1035"/>
      <c r="V133" s="1036"/>
      <c r="W133" s="1035"/>
      <c r="X133" s="1035"/>
      <c r="Y133" s="1035"/>
      <c r="Z133" s="1035"/>
      <c r="AA133" s="1035"/>
      <c r="AB133" s="1035"/>
      <c r="AC133" s="1035"/>
      <c r="AD133" s="1035"/>
      <c r="AE133" s="1035"/>
      <c r="AF133" s="1036"/>
    </row>
    <row r="134" spans="1:32" ht="12.75">
      <c r="A134" s="880"/>
      <c r="B134" s="766"/>
      <c r="C134" s="1021" t="s">
        <v>14</v>
      </c>
      <c r="D134" s="1038">
        <f>AVERAGE(K134:V134)</f>
        <v>-1.176102341533227</v>
      </c>
      <c r="E134" s="1039"/>
      <c r="F134" s="1024"/>
      <c r="G134" s="1025"/>
      <c r="H134" s="802"/>
      <c r="I134" s="802"/>
      <c r="J134" s="848"/>
      <c r="K134" s="1040">
        <f aca="true" t="shared" si="36" ref="K134:V134">K125/(K110+K111)</f>
        <v>-1.1339040861099683</v>
      </c>
      <c r="L134" s="1041">
        <f t="shared" si="36"/>
        <v>-1.1393695590124162</v>
      </c>
      <c r="M134" s="1041">
        <f t="shared" si="36"/>
        <v>-1.1453001785448595</v>
      </c>
      <c r="N134" s="1041">
        <f t="shared" si="36"/>
        <v>-1.1517579642579643</v>
      </c>
      <c r="O134" s="1041">
        <f t="shared" si="36"/>
        <v>-1.1588164742234506</v>
      </c>
      <c r="P134" s="1041">
        <f t="shared" si="36"/>
        <v>-1.1665636193075217</v>
      </c>
      <c r="Q134" s="1041">
        <f t="shared" si="36"/>
        <v>-1.1751053433745742</v>
      </c>
      <c r="R134" s="1041">
        <f t="shared" si="36"/>
        <v>-1.184570497070497</v>
      </c>
      <c r="S134" s="1041">
        <f t="shared" si="36"/>
        <v>-1.1951173826173822</v>
      </c>
      <c r="T134" s="1041">
        <f t="shared" si="36"/>
        <v>-1.2069426785335873</v>
      </c>
      <c r="U134" s="1041">
        <f t="shared" si="36"/>
        <v>-1.2202938190841417</v>
      </c>
      <c r="V134" s="1042">
        <f t="shared" si="36"/>
        <v>-1.2354864962623586</v>
      </c>
      <c r="W134" s="1041"/>
      <c r="X134" s="1041"/>
      <c r="Y134" s="1041"/>
      <c r="Z134" s="1041"/>
      <c r="AA134" s="1041"/>
      <c r="AB134" s="1041"/>
      <c r="AC134" s="1041"/>
      <c r="AD134" s="1041"/>
      <c r="AE134" s="1041"/>
      <c r="AF134" s="1042"/>
    </row>
    <row r="135" spans="1:32" ht="13.5" thickBot="1">
      <c r="A135" s="909"/>
      <c r="B135" s="1043"/>
      <c r="C135" s="1044" t="s">
        <v>63</v>
      </c>
      <c r="D135" s="1045">
        <f>MIN(W135:AF135)</f>
        <v>13</v>
      </c>
      <c r="E135" s="1046"/>
      <c r="F135" s="1047"/>
      <c r="G135" s="1048"/>
      <c r="H135" s="1049"/>
      <c r="I135" s="1049"/>
      <c r="J135" s="1050"/>
      <c r="K135" s="1048"/>
      <c r="L135" s="1049"/>
      <c r="M135" s="1049"/>
      <c r="N135" s="1049"/>
      <c r="O135" s="1049"/>
      <c r="P135" s="1049"/>
      <c r="Q135" s="1049">
        <f>IF(Q132&gt;0,Q80,0)</f>
        <v>0</v>
      </c>
      <c r="R135" s="1049">
        <f aca="true" t="shared" si="37" ref="R135:AF135">IF(R132&gt;0,R80,)</f>
        <v>0</v>
      </c>
      <c r="S135" s="1049">
        <f t="shared" si="37"/>
        <v>0</v>
      </c>
      <c r="T135" s="1049">
        <f t="shared" si="37"/>
        <v>0</v>
      </c>
      <c r="U135" s="1049">
        <f t="shared" si="37"/>
        <v>0</v>
      </c>
      <c r="V135" s="1050">
        <f t="shared" si="37"/>
        <v>0</v>
      </c>
      <c r="W135" s="1049">
        <f t="shared" si="37"/>
        <v>13</v>
      </c>
      <c r="X135" s="1049">
        <f t="shared" si="37"/>
        <v>14</v>
      </c>
      <c r="Y135" s="1049">
        <f t="shared" si="37"/>
        <v>15</v>
      </c>
      <c r="Z135" s="1049">
        <f t="shared" si="37"/>
        <v>16</v>
      </c>
      <c r="AA135" s="1049">
        <f t="shared" si="37"/>
        <v>17</v>
      </c>
      <c r="AB135" s="1049">
        <f t="shared" si="37"/>
        <v>18</v>
      </c>
      <c r="AC135" s="1049">
        <f t="shared" si="37"/>
        <v>19</v>
      </c>
      <c r="AD135" s="1049">
        <f t="shared" si="37"/>
        <v>20</v>
      </c>
      <c r="AE135" s="1049">
        <f t="shared" si="37"/>
        <v>21</v>
      </c>
      <c r="AF135" s="1050">
        <f t="shared" si="37"/>
        <v>22</v>
      </c>
    </row>
  </sheetData>
  <sheetProtection/>
  <printOptions/>
  <pageMargins left="0.75" right="0.75" top="1" bottom="1" header="0.5" footer="0.5"/>
  <pageSetup fitToHeight="2" fitToWidth="1" horizontalDpi="600" verticalDpi="600" orientation="landscape" paperSize="5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T146"/>
  <sheetViews>
    <sheetView tabSelected="1" zoomScalePageLayoutView="0" workbookViewId="0" topLeftCell="A37">
      <selection activeCell="D62" sqref="D62"/>
    </sheetView>
  </sheetViews>
  <sheetFormatPr defaultColWidth="7.7109375" defaultRowHeight="12.75"/>
  <cols>
    <col min="1" max="2" width="7.7109375" style="0" customWidth="1"/>
    <col min="3" max="3" width="27.8515625" style="0" bestFit="1" customWidth="1"/>
    <col min="4" max="4" width="9.421875" style="0" bestFit="1" customWidth="1"/>
    <col min="5" max="5" width="7.7109375" style="0" customWidth="1"/>
    <col min="6" max="6" width="10.140625" style="0" bestFit="1" customWidth="1"/>
    <col min="7" max="10" width="7.7109375" style="0" customWidth="1"/>
    <col min="11" max="11" width="8.7109375" style="0" customWidth="1"/>
  </cols>
  <sheetData>
    <row r="1" ht="12.75">
      <c r="A1" t="s">
        <v>122</v>
      </c>
    </row>
    <row r="3" ht="12.75">
      <c r="A3" t="s">
        <v>30</v>
      </c>
    </row>
    <row r="4" ht="13.5" thickBot="1"/>
    <row r="5" spans="1:56" s="4" customFormat="1" ht="19.5" thickBot="1">
      <c r="A5" s="738"/>
      <c r="B5" s="739"/>
      <c r="C5" s="740"/>
      <c r="D5" s="741"/>
      <c r="E5" s="742"/>
      <c r="F5" s="743"/>
      <c r="G5" s="744"/>
      <c r="H5" s="744"/>
      <c r="I5" s="744"/>
      <c r="J5" s="744"/>
      <c r="K5" s="743"/>
      <c r="L5" s="743"/>
      <c r="M5" s="743"/>
      <c r="N5" s="743"/>
      <c r="O5" s="743"/>
      <c r="P5" s="743"/>
      <c r="Q5" s="743"/>
      <c r="R5" s="743"/>
      <c r="S5" s="743"/>
      <c r="T5" s="743"/>
      <c r="U5" s="743"/>
      <c r="V5" s="743"/>
      <c r="W5" s="743"/>
      <c r="X5" s="743"/>
      <c r="Y5" s="743"/>
      <c r="Z5" s="743"/>
      <c r="AA5" s="743"/>
      <c r="AB5" s="743"/>
      <c r="AC5" s="743"/>
      <c r="AD5" s="743"/>
      <c r="AE5" s="743"/>
      <c r="AF5" s="743"/>
      <c r="AG5" s="420"/>
      <c r="AH5" s="420"/>
      <c r="AI5" s="420"/>
      <c r="AJ5" s="420"/>
      <c r="AK5" s="420"/>
      <c r="AL5" s="420"/>
      <c r="AM5" s="420"/>
      <c r="AN5" s="420"/>
      <c r="AO5" s="420"/>
      <c r="AP5" s="420"/>
      <c r="AQ5" s="420"/>
      <c r="AR5" s="420"/>
      <c r="AS5" s="420"/>
      <c r="AT5" s="420"/>
      <c r="AU5" s="420"/>
      <c r="AV5" s="420"/>
      <c r="AW5" s="420"/>
      <c r="AX5" s="420"/>
      <c r="AY5" s="420"/>
      <c r="AZ5" s="420"/>
      <c r="BA5" s="420"/>
      <c r="BB5" s="420"/>
      <c r="BC5" s="420"/>
      <c r="BD5" s="420"/>
    </row>
    <row r="6" spans="1:56" s="4" customFormat="1" ht="19.5" thickBot="1">
      <c r="A6" s="745" t="s">
        <v>40</v>
      </c>
      <c r="B6" s="746"/>
      <c r="C6" s="747"/>
      <c r="D6" s="748">
        <v>4</v>
      </c>
      <c r="E6" s="749" t="s">
        <v>41</v>
      </c>
      <c r="F6" s="743"/>
      <c r="G6" s="744"/>
      <c r="H6" s="744"/>
      <c r="I6" s="744"/>
      <c r="J6" s="744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  <c r="W6" s="743"/>
      <c r="X6" s="743"/>
      <c r="Y6" s="743"/>
      <c r="Z6" s="743"/>
      <c r="AA6" s="743"/>
      <c r="AB6" s="743"/>
      <c r="AC6" s="743"/>
      <c r="AD6" s="743"/>
      <c r="AE6" s="743"/>
      <c r="AF6" s="743"/>
      <c r="AG6" s="420"/>
      <c r="AH6" s="420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  <c r="AX6" s="420"/>
      <c r="AY6" s="420"/>
      <c r="AZ6" s="420"/>
      <c r="BA6" s="420"/>
      <c r="BB6" s="420"/>
      <c r="BC6" s="420"/>
      <c r="BD6" s="420"/>
    </row>
    <row r="7" spans="1:56" s="4" customFormat="1" ht="18.75">
      <c r="A7" s="750"/>
      <c r="B7" s="746"/>
      <c r="C7" s="747"/>
      <c r="D7" s="751"/>
      <c r="E7" s="752"/>
      <c r="F7" s="743"/>
      <c r="G7" s="744"/>
      <c r="H7" s="744"/>
      <c r="I7" s="744"/>
      <c r="J7" s="744"/>
      <c r="K7" s="743"/>
      <c r="L7" s="743"/>
      <c r="M7" s="743"/>
      <c r="N7" s="743"/>
      <c r="O7" s="743"/>
      <c r="P7" s="743"/>
      <c r="Q7" s="743"/>
      <c r="R7" s="743"/>
      <c r="S7" s="743"/>
      <c r="T7" s="743"/>
      <c r="U7" s="743"/>
      <c r="V7" s="743"/>
      <c r="W7" s="743"/>
      <c r="X7" s="743"/>
      <c r="Y7" s="743"/>
      <c r="Z7" s="743"/>
      <c r="AA7" s="743"/>
      <c r="AB7" s="743"/>
      <c r="AC7" s="743"/>
      <c r="AD7" s="743"/>
      <c r="AE7" s="743"/>
      <c r="AF7" s="743"/>
      <c r="AG7" s="420"/>
      <c r="AH7" s="420"/>
      <c r="AI7" s="420"/>
      <c r="AJ7" s="420"/>
      <c r="AK7" s="420"/>
      <c r="AL7" s="420"/>
      <c r="AM7" s="420"/>
      <c r="AN7" s="420"/>
      <c r="AO7" s="420"/>
      <c r="AP7" s="420"/>
      <c r="AQ7" s="420"/>
      <c r="AR7" s="420"/>
      <c r="AS7" s="420"/>
      <c r="AT7" s="420"/>
      <c r="AU7" s="420"/>
      <c r="AV7" s="420"/>
      <c r="AW7" s="420"/>
      <c r="AX7" s="420"/>
      <c r="AY7" s="420"/>
      <c r="AZ7" s="420"/>
      <c r="BA7" s="420"/>
      <c r="BB7" s="420"/>
      <c r="BC7" s="420"/>
      <c r="BD7" s="420"/>
    </row>
    <row r="8" spans="1:56" s="4" customFormat="1" ht="19.5" thickBot="1">
      <c r="A8" s="753" t="s">
        <v>55</v>
      </c>
      <c r="B8" s="746"/>
      <c r="C8" s="747"/>
      <c r="D8" s="754"/>
      <c r="E8" s="752"/>
      <c r="F8" s="743"/>
      <c r="G8" s="755" t="s">
        <v>47</v>
      </c>
      <c r="H8" s="744"/>
      <c r="I8" s="744"/>
      <c r="J8" s="744"/>
      <c r="K8" s="756" t="s">
        <v>0</v>
      </c>
      <c r="L8" s="743"/>
      <c r="M8" s="743"/>
      <c r="N8" s="743"/>
      <c r="O8" s="743"/>
      <c r="P8" s="743"/>
      <c r="Q8" s="743"/>
      <c r="R8" s="743"/>
      <c r="S8" s="743"/>
      <c r="T8" s="743"/>
      <c r="U8" s="743"/>
      <c r="V8" s="743"/>
      <c r="W8" s="743"/>
      <c r="X8" s="743"/>
      <c r="Y8" s="743"/>
      <c r="Z8" s="743"/>
      <c r="AA8" s="743"/>
      <c r="AB8" s="743"/>
      <c r="AC8" s="743"/>
      <c r="AD8" s="743"/>
      <c r="AE8" s="743"/>
      <c r="AF8" s="743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20"/>
      <c r="AZ8" s="420"/>
      <c r="BA8" s="420"/>
      <c r="BB8" s="420"/>
      <c r="BC8" s="420"/>
      <c r="BD8" s="420"/>
    </row>
    <row r="9" spans="1:56" s="4" customFormat="1" ht="19.5" thickBot="1">
      <c r="A9" s="757" t="s">
        <v>123</v>
      </c>
      <c r="B9" s="746"/>
      <c r="C9" s="747"/>
      <c r="D9" s="758">
        <v>100</v>
      </c>
      <c r="E9" s="752" t="s">
        <v>29</v>
      </c>
      <c r="F9" s="743"/>
      <c r="G9" s="759">
        <v>0.3</v>
      </c>
      <c r="H9" s="760">
        <v>0.3</v>
      </c>
      <c r="I9" s="760">
        <v>0.25</v>
      </c>
      <c r="J9" s="761">
        <v>0.15</v>
      </c>
      <c r="K9" s="762">
        <f>SUM(G9:J9)</f>
        <v>1</v>
      </c>
      <c r="L9" s="743" t="str">
        <f>IF(K9=100%,"OK","ERROR")</f>
        <v>OK</v>
      </c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43"/>
      <c r="AC9" s="743"/>
      <c r="AD9" s="743"/>
      <c r="AE9" s="743"/>
      <c r="AF9" s="743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20"/>
    </row>
    <row r="10" spans="1:56" s="4" customFormat="1" ht="19.5" thickBot="1">
      <c r="A10" s="757" t="s">
        <v>124</v>
      </c>
      <c r="B10" s="746"/>
      <c r="C10" s="747"/>
      <c r="D10" s="763">
        <v>5</v>
      </c>
      <c r="E10" s="752" t="s">
        <v>29</v>
      </c>
      <c r="F10" s="743"/>
      <c r="G10" s="759">
        <v>0.3</v>
      </c>
      <c r="H10" s="760">
        <v>0.3</v>
      </c>
      <c r="I10" s="760">
        <v>0.25</v>
      </c>
      <c r="J10" s="761">
        <v>0.15</v>
      </c>
      <c r="K10" s="762">
        <f>SUM(G10:J10)</f>
        <v>1</v>
      </c>
      <c r="L10" s="743" t="str">
        <f>IF(K10=100%,"OK","ERROR")</f>
        <v>OK</v>
      </c>
      <c r="M10" s="743"/>
      <c r="N10" s="743"/>
      <c r="O10" s="743"/>
      <c r="P10" s="743"/>
      <c r="Q10" s="743"/>
      <c r="R10" s="743"/>
      <c r="S10" s="743"/>
      <c r="T10" s="743"/>
      <c r="U10" s="743"/>
      <c r="V10" s="743"/>
      <c r="W10" s="743"/>
      <c r="X10" s="743"/>
      <c r="Y10" s="743"/>
      <c r="Z10" s="743"/>
      <c r="AA10" s="743"/>
      <c r="AB10" s="743"/>
      <c r="AC10" s="743"/>
      <c r="AD10" s="743"/>
      <c r="AE10" s="743"/>
      <c r="AF10" s="743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</row>
    <row r="11" spans="1:56" s="4" customFormat="1" ht="19.5" thickBot="1">
      <c r="A11" s="757" t="s">
        <v>109</v>
      </c>
      <c r="B11" s="746"/>
      <c r="C11" s="747"/>
      <c r="D11" s="763">
        <v>0</v>
      </c>
      <c r="E11" s="752" t="s">
        <v>29</v>
      </c>
      <c r="F11" s="743"/>
      <c r="G11" s="759">
        <v>0.3</v>
      </c>
      <c r="H11" s="760">
        <v>0.3</v>
      </c>
      <c r="I11" s="760">
        <v>0.25</v>
      </c>
      <c r="J11" s="761">
        <v>0.15</v>
      </c>
      <c r="K11" s="762">
        <f>SUM(G11:J11)</f>
        <v>1</v>
      </c>
      <c r="L11" s="743" t="str">
        <f>IF(K11=100%,"OK","ERROR")</f>
        <v>OK</v>
      </c>
      <c r="M11" s="743"/>
      <c r="N11" s="743"/>
      <c r="O11" s="743"/>
      <c r="P11" s="743"/>
      <c r="Q11" s="743"/>
      <c r="R11" s="743"/>
      <c r="S11" s="743"/>
      <c r="T11" s="743"/>
      <c r="U11" s="743"/>
      <c r="V11" s="743"/>
      <c r="W11" s="743"/>
      <c r="X11" s="743"/>
      <c r="Y11" s="743"/>
      <c r="Z11" s="743"/>
      <c r="AA11" s="743"/>
      <c r="AB11" s="743"/>
      <c r="AC11" s="743"/>
      <c r="AD11" s="743"/>
      <c r="AE11" s="743"/>
      <c r="AF11" s="743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</row>
    <row r="12" spans="1:56" s="4" customFormat="1" ht="19.5" thickBot="1">
      <c r="A12" s="757" t="s">
        <v>109</v>
      </c>
      <c r="B12" s="746"/>
      <c r="C12" s="747"/>
      <c r="D12" s="763">
        <v>0</v>
      </c>
      <c r="E12" s="752" t="s">
        <v>29</v>
      </c>
      <c r="F12" s="743"/>
      <c r="G12" s="759">
        <v>0.3</v>
      </c>
      <c r="H12" s="760">
        <v>0.3</v>
      </c>
      <c r="I12" s="760">
        <v>0.25</v>
      </c>
      <c r="J12" s="761">
        <v>0.15</v>
      </c>
      <c r="K12" s="762">
        <f>SUM(G12:J12)</f>
        <v>1</v>
      </c>
      <c r="L12" s="743" t="str">
        <f>IF(K12=100%,"OK","ERROR")</f>
        <v>OK</v>
      </c>
      <c r="M12" s="743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  <c r="AB12" s="743"/>
      <c r="AC12" s="743"/>
      <c r="AD12" s="743"/>
      <c r="AE12" s="743"/>
      <c r="AF12" s="743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20"/>
      <c r="BC12" s="420"/>
      <c r="BD12" s="420"/>
    </row>
    <row r="13" spans="1:56" s="4" customFormat="1" ht="19.5" thickBot="1">
      <c r="A13" s="757" t="s">
        <v>1</v>
      </c>
      <c r="B13" s="746"/>
      <c r="C13" s="747"/>
      <c r="D13" s="764">
        <v>5</v>
      </c>
      <c r="E13" s="752" t="s">
        <v>29</v>
      </c>
      <c r="F13" s="743"/>
      <c r="G13" s="759">
        <v>0.3</v>
      </c>
      <c r="H13" s="760">
        <v>0.3</v>
      </c>
      <c r="I13" s="760">
        <v>0.25</v>
      </c>
      <c r="J13" s="761">
        <v>0.15</v>
      </c>
      <c r="K13" s="762">
        <f>SUM(G13:J13)</f>
        <v>1</v>
      </c>
      <c r="L13" s="743" t="str">
        <f>IF(K13=100%,"OK","ERROR")</f>
        <v>OK</v>
      </c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3"/>
      <c r="AD13" s="743"/>
      <c r="AE13" s="743"/>
      <c r="AF13" s="743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20"/>
    </row>
    <row r="14" spans="1:56" s="75" customFormat="1" ht="19.5" thickBot="1">
      <c r="A14" s="765" t="s">
        <v>49</v>
      </c>
      <c r="B14" s="766"/>
      <c r="C14" s="767"/>
      <c r="D14" s="768">
        <f>SUM(D9:D13)</f>
        <v>110</v>
      </c>
      <c r="E14" s="749" t="s">
        <v>29</v>
      </c>
      <c r="F14" s="769"/>
      <c r="G14" s="755"/>
      <c r="H14" s="755"/>
      <c r="I14" s="755"/>
      <c r="J14" s="755"/>
      <c r="K14" s="769"/>
      <c r="L14" s="769"/>
      <c r="M14" s="769"/>
      <c r="N14" s="769"/>
      <c r="O14" s="769"/>
      <c r="P14" s="769"/>
      <c r="Q14" s="769"/>
      <c r="R14" s="769"/>
      <c r="S14" s="769"/>
      <c r="T14" s="769"/>
      <c r="U14" s="769"/>
      <c r="V14" s="769"/>
      <c r="W14" s="769"/>
      <c r="X14" s="769"/>
      <c r="Y14" s="769"/>
      <c r="Z14" s="769"/>
      <c r="AA14" s="769"/>
      <c r="AB14" s="769"/>
      <c r="AC14" s="769"/>
      <c r="AD14" s="769"/>
      <c r="AE14" s="769"/>
      <c r="AF14" s="769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</row>
    <row r="15" spans="1:56" s="4" customFormat="1" ht="18.75">
      <c r="A15" s="770"/>
      <c r="B15" s="746"/>
      <c r="C15" s="747"/>
      <c r="D15" s="741"/>
      <c r="E15" s="752"/>
      <c r="F15" s="743"/>
      <c r="G15" s="744"/>
      <c r="H15" s="744"/>
      <c r="I15" s="744"/>
      <c r="J15" s="744"/>
      <c r="K15" s="743"/>
      <c r="L15" s="743"/>
      <c r="M15" s="743"/>
      <c r="N15" s="743"/>
      <c r="O15" s="743"/>
      <c r="P15" s="743"/>
      <c r="Q15" s="743"/>
      <c r="R15" s="743"/>
      <c r="S15" s="743"/>
      <c r="T15" s="743"/>
      <c r="U15" s="743"/>
      <c r="V15" s="743"/>
      <c r="W15" s="743"/>
      <c r="X15" s="743"/>
      <c r="Y15" s="743"/>
      <c r="Z15" s="743"/>
      <c r="AA15" s="743"/>
      <c r="AB15" s="743"/>
      <c r="AC15" s="743"/>
      <c r="AD15" s="743"/>
      <c r="AE15" s="743"/>
      <c r="AF15" s="743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</row>
    <row r="16" spans="1:56" s="75" customFormat="1" ht="19.5" thickBot="1">
      <c r="A16" s="753" t="s">
        <v>44</v>
      </c>
      <c r="B16" s="766"/>
      <c r="C16" s="767"/>
      <c r="D16" s="754"/>
      <c r="E16" s="749"/>
      <c r="F16" s="769"/>
      <c r="G16" s="755" t="s">
        <v>48</v>
      </c>
      <c r="H16" s="755"/>
      <c r="I16" s="755"/>
      <c r="J16" s="755"/>
      <c r="K16" s="756" t="s">
        <v>0</v>
      </c>
      <c r="L16" s="769"/>
      <c r="M16" s="769"/>
      <c r="N16" s="769"/>
      <c r="O16" s="769"/>
      <c r="P16" s="769"/>
      <c r="Q16" s="769"/>
      <c r="R16" s="769"/>
      <c r="S16" s="769"/>
      <c r="T16" s="769"/>
      <c r="U16" s="769"/>
      <c r="V16" s="769"/>
      <c r="W16" s="769"/>
      <c r="X16" s="769"/>
      <c r="Y16" s="769"/>
      <c r="Z16" s="769"/>
      <c r="AA16" s="769"/>
      <c r="AB16" s="769"/>
      <c r="AC16" s="769"/>
      <c r="AD16" s="769"/>
      <c r="AE16" s="769"/>
      <c r="AF16" s="769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4"/>
    </row>
    <row r="17" spans="1:56" s="4" customFormat="1" ht="19.5" thickBot="1">
      <c r="A17" s="771" t="s">
        <v>39</v>
      </c>
      <c r="B17" s="746"/>
      <c r="C17" s="747"/>
      <c r="D17" s="772">
        <v>0</v>
      </c>
      <c r="E17" s="752" t="s">
        <v>29</v>
      </c>
      <c r="F17" s="743"/>
      <c r="G17" s="773">
        <v>0.2</v>
      </c>
      <c r="H17" s="760">
        <v>0.4</v>
      </c>
      <c r="I17" s="760">
        <v>0.35</v>
      </c>
      <c r="J17" s="761">
        <v>0.05</v>
      </c>
      <c r="K17" s="774">
        <f>SUM(G17:J17)</f>
        <v>1</v>
      </c>
      <c r="L17" s="743" t="str">
        <f>IF(K17=100%,"OK","ERROR")</f>
        <v>OK</v>
      </c>
      <c r="M17" s="743"/>
      <c r="N17" s="743"/>
      <c r="O17" s="743"/>
      <c r="P17" s="743"/>
      <c r="Q17" s="743"/>
      <c r="R17" s="743"/>
      <c r="S17" s="743"/>
      <c r="T17" s="743"/>
      <c r="U17" s="743"/>
      <c r="V17" s="743"/>
      <c r="W17" s="743"/>
      <c r="X17" s="743"/>
      <c r="Y17" s="743"/>
      <c r="Z17" s="743"/>
      <c r="AA17" s="743"/>
      <c r="AB17" s="743"/>
      <c r="AC17" s="743"/>
      <c r="AD17" s="743"/>
      <c r="AE17" s="743"/>
      <c r="AF17" s="743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</row>
    <row r="18" spans="1:56" s="4" customFormat="1" ht="19.5" thickBot="1">
      <c r="A18" s="771" t="s">
        <v>46</v>
      </c>
      <c r="B18" s="746"/>
      <c r="C18" s="747"/>
      <c r="D18" s="775">
        <v>25</v>
      </c>
      <c r="E18" s="752" t="s">
        <v>29</v>
      </c>
      <c r="F18" s="743"/>
      <c r="G18" s="773">
        <v>0</v>
      </c>
      <c r="H18" s="760">
        <v>0</v>
      </c>
      <c r="I18" s="760">
        <v>0.5</v>
      </c>
      <c r="J18" s="761">
        <v>0.5</v>
      </c>
      <c r="K18" s="776">
        <f>SUM(G18:J18)</f>
        <v>1</v>
      </c>
      <c r="L18" s="743" t="str">
        <f>IF(K18=100%,"OK","ERROR")</f>
        <v>OK</v>
      </c>
      <c r="M18" s="743"/>
      <c r="N18" s="743"/>
      <c r="O18" s="743"/>
      <c r="P18" s="743"/>
      <c r="Q18" s="743"/>
      <c r="R18" s="743"/>
      <c r="S18" s="743"/>
      <c r="T18" s="743"/>
      <c r="U18" s="743"/>
      <c r="V18" s="743"/>
      <c r="W18" s="743"/>
      <c r="X18" s="743"/>
      <c r="Y18" s="743"/>
      <c r="Z18" s="743"/>
      <c r="AA18" s="743"/>
      <c r="AB18" s="743"/>
      <c r="AC18" s="743"/>
      <c r="AD18" s="743"/>
      <c r="AE18" s="743"/>
      <c r="AF18" s="743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C18" s="420"/>
      <c r="BD18" s="420"/>
    </row>
    <row r="19" spans="1:56" s="4" customFormat="1" ht="19.5" thickBot="1">
      <c r="A19" s="771" t="s">
        <v>66</v>
      </c>
      <c r="B19" s="746"/>
      <c r="C19" s="747"/>
      <c r="D19" s="777">
        <v>0</v>
      </c>
      <c r="E19" s="752"/>
      <c r="F19" s="743"/>
      <c r="G19" s="744"/>
      <c r="H19" s="744"/>
      <c r="I19" s="744"/>
      <c r="J19" s="744"/>
      <c r="K19" s="743"/>
      <c r="L19" s="743"/>
      <c r="M19" s="743"/>
      <c r="N19" s="743"/>
      <c r="O19" s="743"/>
      <c r="P19" s="743"/>
      <c r="Q19" s="743"/>
      <c r="R19" s="743"/>
      <c r="S19" s="743"/>
      <c r="T19" s="743"/>
      <c r="U19" s="743"/>
      <c r="V19" s="743"/>
      <c r="W19" s="743"/>
      <c r="X19" s="743"/>
      <c r="Y19" s="743"/>
      <c r="Z19" s="743"/>
      <c r="AA19" s="743"/>
      <c r="AB19" s="743"/>
      <c r="AC19" s="743"/>
      <c r="AD19" s="743"/>
      <c r="AE19" s="743"/>
      <c r="AF19" s="743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420"/>
      <c r="AY19" s="420"/>
      <c r="AZ19" s="420"/>
      <c r="BA19" s="420"/>
      <c r="BB19" s="420"/>
      <c r="BC19" s="420"/>
      <c r="BD19" s="420"/>
    </row>
    <row r="20" spans="1:56" s="4" customFormat="1" ht="19.5" thickBot="1">
      <c r="A20" s="771" t="s">
        <v>38</v>
      </c>
      <c r="B20" s="746"/>
      <c r="C20" s="747"/>
      <c r="D20" s="778">
        <v>0.08</v>
      </c>
      <c r="E20" s="752"/>
      <c r="F20" s="743"/>
      <c r="G20" s="744"/>
      <c r="H20" s="744"/>
      <c r="I20" s="744"/>
      <c r="J20" s="744"/>
      <c r="K20" s="743"/>
      <c r="L20" s="743"/>
      <c r="M20" s="743"/>
      <c r="N20" s="743"/>
      <c r="O20" s="743"/>
      <c r="P20" s="743"/>
      <c r="Q20" s="743"/>
      <c r="R20" s="743"/>
      <c r="S20" s="743"/>
      <c r="T20" s="743"/>
      <c r="U20" s="743"/>
      <c r="V20" s="743"/>
      <c r="W20" s="743"/>
      <c r="X20" s="743"/>
      <c r="Y20" s="743"/>
      <c r="Z20" s="743"/>
      <c r="AA20" s="743"/>
      <c r="AB20" s="743"/>
      <c r="AC20" s="743"/>
      <c r="AD20" s="743"/>
      <c r="AE20" s="743"/>
      <c r="AF20" s="743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</row>
    <row r="21" spans="1:56" s="4" customFormat="1" ht="19.5" thickBot="1">
      <c r="A21" s="771" t="s">
        <v>32</v>
      </c>
      <c r="B21" s="746"/>
      <c r="C21" s="747"/>
      <c r="D21" s="779">
        <v>13</v>
      </c>
      <c r="E21" s="752" t="s">
        <v>31</v>
      </c>
      <c r="F21" s="743"/>
      <c r="G21" s="755" t="s">
        <v>68</v>
      </c>
      <c r="H21" s="744"/>
      <c r="I21" s="744"/>
      <c r="J21" s="744"/>
      <c r="K21" s="756" t="s">
        <v>0</v>
      </c>
      <c r="L21" s="743"/>
      <c r="M21" s="743"/>
      <c r="N21" s="743"/>
      <c r="O21" s="743"/>
      <c r="P21" s="743"/>
      <c r="Q21" s="743"/>
      <c r="R21" s="743"/>
      <c r="S21" s="743"/>
      <c r="T21" s="743"/>
      <c r="U21" s="743"/>
      <c r="V21" s="743"/>
      <c r="W21" s="743"/>
      <c r="X21" s="743"/>
      <c r="Y21" s="743"/>
      <c r="Z21" s="743"/>
      <c r="AA21" s="743"/>
      <c r="AB21" s="743"/>
      <c r="AC21" s="743"/>
      <c r="AD21" s="743"/>
      <c r="AE21" s="743"/>
      <c r="AF21" s="743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</row>
    <row r="22" spans="1:56" s="4" customFormat="1" ht="19.5" thickBot="1">
      <c r="A22" s="771" t="s">
        <v>69</v>
      </c>
      <c r="B22" s="746"/>
      <c r="C22" s="747"/>
      <c r="D22" s="780">
        <f>D14-D17-D18</f>
        <v>85</v>
      </c>
      <c r="E22" s="752" t="s">
        <v>29</v>
      </c>
      <c r="F22" s="743"/>
      <c r="G22" s="773">
        <v>0.5</v>
      </c>
      <c r="H22" s="760">
        <v>0.5</v>
      </c>
      <c r="I22" s="760">
        <v>0</v>
      </c>
      <c r="J22" s="761">
        <v>0</v>
      </c>
      <c r="K22" s="774">
        <f>SUM(G22:J22)</f>
        <v>1</v>
      </c>
      <c r="L22" s="743" t="str">
        <f>IF(K22=100%,"OK","ERROR")</f>
        <v>OK</v>
      </c>
      <c r="M22" s="743"/>
      <c r="N22" s="743"/>
      <c r="O22" s="743"/>
      <c r="P22" s="743"/>
      <c r="Q22" s="743"/>
      <c r="R22" s="743"/>
      <c r="S22" s="743"/>
      <c r="T22" s="743"/>
      <c r="U22" s="743"/>
      <c r="V22" s="743"/>
      <c r="W22" s="743"/>
      <c r="X22" s="743"/>
      <c r="Y22" s="743"/>
      <c r="Z22" s="743"/>
      <c r="AA22" s="743"/>
      <c r="AB22" s="743"/>
      <c r="AC22" s="743"/>
      <c r="AD22" s="743"/>
      <c r="AE22" s="743"/>
      <c r="AF22" s="743"/>
      <c r="AG22" s="420"/>
      <c r="AH22" s="420"/>
      <c r="AI22" s="420"/>
      <c r="AJ22" s="420"/>
      <c r="AK22" s="420"/>
      <c r="AL22" s="420"/>
      <c r="AM22" s="420"/>
      <c r="AN22" s="420"/>
      <c r="AO22" s="420"/>
      <c r="AP22" s="420"/>
      <c r="AQ22" s="420"/>
      <c r="AR22" s="420"/>
      <c r="AS22" s="420"/>
      <c r="AT22" s="420"/>
      <c r="AU22" s="420"/>
      <c r="AV22" s="420"/>
      <c r="AW22" s="420"/>
      <c r="AX22" s="420"/>
      <c r="AY22" s="420"/>
      <c r="AZ22" s="420"/>
      <c r="BA22" s="420"/>
      <c r="BB22" s="420"/>
      <c r="BC22" s="420"/>
      <c r="BD22" s="420"/>
    </row>
    <row r="23" spans="1:56" s="4" customFormat="1" ht="19.5" thickBot="1">
      <c r="A23" s="771" t="s">
        <v>70</v>
      </c>
      <c r="B23" s="746"/>
      <c r="C23" s="747"/>
      <c r="D23" s="781">
        <f>K23</f>
        <v>6.936</v>
      </c>
      <c r="E23" s="752" t="s">
        <v>29</v>
      </c>
      <c r="F23" s="743"/>
      <c r="G23" s="782">
        <f>$D22*G22*$D20</f>
        <v>3.4</v>
      </c>
      <c r="H23" s="783">
        <f>($D22+G23)*H22*$D20</f>
        <v>3.5360000000000005</v>
      </c>
      <c r="I23" s="783">
        <f>($D22+H23+G23)*I22*$D20</f>
        <v>0</v>
      </c>
      <c r="J23" s="784">
        <f>($D22+I23+H23+G23)*J22*$D20</f>
        <v>0</v>
      </c>
      <c r="K23" s="785">
        <f>SUM(G23:J23)</f>
        <v>6.936</v>
      </c>
      <c r="L23" s="743"/>
      <c r="M23" s="743"/>
      <c r="N23" s="743"/>
      <c r="O23" s="743"/>
      <c r="P23" s="743"/>
      <c r="Q23" s="743"/>
      <c r="R23" s="743"/>
      <c r="S23" s="743"/>
      <c r="T23" s="743"/>
      <c r="U23" s="743"/>
      <c r="V23" s="743"/>
      <c r="W23" s="743"/>
      <c r="X23" s="743"/>
      <c r="Y23" s="743"/>
      <c r="Z23" s="743"/>
      <c r="AA23" s="743"/>
      <c r="AB23" s="743"/>
      <c r="AC23" s="743"/>
      <c r="AD23" s="743"/>
      <c r="AE23" s="743"/>
      <c r="AF23" s="743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</row>
    <row r="24" spans="1:56" s="4" customFormat="1" ht="19.5" thickBot="1">
      <c r="A24" s="765" t="s">
        <v>92</v>
      </c>
      <c r="B24" s="746"/>
      <c r="C24" s="747"/>
      <c r="D24" s="781">
        <f>D14-D17-D18+D23</f>
        <v>91.936</v>
      </c>
      <c r="E24" s="752" t="s">
        <v>29</v>
      </c>
      <c r="F24" s="743"/>
      <c r="G24" s="743"/>
      <c r="H24" s="743"/>
      <c r="I24" s="743"/>
      <c r="J24" s="743"/>
      <c r="K24" s="743"/>
      <c r="L24" s="743"/>
      <c r="M24" s="743"/>
      <c r="N24" s="743"/>
      <c r="O24" s="743"/>
      <c r="P24" s="743"/>
      <c r="Q24" s="743"/>
      <c r="R24" s="743"/>
      <c r="S24" s="743"/>
      <c r="T24" s="743"/>
      <c r="U24" s="743"/>
      <c r="V24" s="743"/>
      <c r="W24" s="743"/>
      <c r="X24" s="743"/>
      <c r="Y24" s="743"/>
      <c r="Z24" s="743"/>
      <c r="AA24" s="743"/>
      <c r="AB24" s="743"/>
      <c r="AC24" s="743"/>
      <c r="AD24" s="743"/>
      <c r="AE24" s="743"/>
      <c r="AF24" s="743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  <c r="BD24" s="420"/>
    </row>
    <row r="25" spans="1:56" s="4" customFormat="1" ht="19.5" thickBot="1">
      <c r="A25" s="786"/>
      <c r="B25" s="787"/>
      <c r="C25" s="788"/>
      <c r="D25" s="789"/>
      <c r="E25" s="790"/>
      <c r="F25" s="743"/>
      <c r="G25" s="744"/>
      <c r="H25" s="744"/>
      <c r="I25" s="744"/>
      <c r="J25" s="744"/>
      <c r="K25" s="743"/>
      <c r="L25" s="743"/>
      <c r="M25" s="743"/>
      <c r="N25" s="743"/>
      <c r="O25" s="743"/>
      <c r="P25" s="743"/>
      <c r="Q25" s="743"/>
      <c r="R25" s="743"/>
      <c r="S25" s="743"/>
      <c r="T25" s="743"/>
      <c r="U25" s="743"/>
      <c r="V25" s="743"/>
      <c r="W25" s="743"/>
      <c r="X25" s="743"/>
      <c r="Y25" s="743"/>
      <c r="Z25" s="743"/>
      <c r="AA25" s="743"/>
      <c r="AB25" s="743"/>
      <c r="AC25" s="743"/>
      <c r="AD25" s="743"/>
      <c r="AE25" s="743"/>
      <c r="AF25" s="743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</row>
    <row r="26" spans="1:32" ht="13.5" thickBot="1">
      <c r="A26" s="791"/>
      <c r="B26" s="792"/>
      <c r="C26" s="793"/>
      <c r="D26" s="794"/>
      <c r="E26" s="743"/>
      <c r="F26" s="743"/>
      <c r="G26" s="744"/>
      <c r="H26" s="744"/>
      <c r="I26" s="744"/>
      <c r="J26" s="744"/>
      <c r="K26" s="743"/>
      <c r="L26" s="743"/>
      <c r="M26" s="743"/>
      <c r="N26" s="743"/>
      <c r="O26" s="743"/>
      <c r="P26" s="743"/>
      <c r="Q26" s="743"/>
      <c r="R26" s="743"/>
      <c r="S26" s="743"/>
      <c r="T26" s="743"/>
      <c r="U26" s="743"/>
      <c r="V26" s="743"/>
      <c r="W26" s="743"/>
      <c r="X26" s="743"/>
      <c r="Y26" s="743"/>
      <c r="Z26" s="743"/>
      <c r="AA26" s="743"/>
      <c r="AB26" s="743"/>
      <c r="AC26" s="743"/>
      <c r="AD26" s="743"/>
      <c r="AE26" s="743"/>
      <c r="AF26" s="743"/>
    </row>
    <row r="27" spans="1:32" ht="13.5" thickBot="1">
      <c r="A27" s="738"/>
      <c r="B27" s="739"/>
      <c r="C27" s="740"/>
      <c r="D27" s="741"/>
      <c r="E27" s="742"/>
      <c r="F27" s="743"/>
      <c r="G27" s="744"/>
      <c r="H27" s="744"/>
      <c r="I27" s="744"/>
      <c r="J27" s="744"/>
      <c r="K27" s="743"/>
      <c r="L27" s="743"/>
      <c r="M27" s="743"/>
      <c r="N27" s="743"/>
      <c r="O27" s="743"/>
      <c r="P27" s="743"/>
      <c r="Q27" s="743"/>
      <c r="R27" s="743"/>
      <c r="S27" s="743"/>
      <c r="T27" s="743"/>
      <c r="U27" s="743"/>
      <c r="V27" s="743"/>
      <c r="W27" s="743"/>
      <c r="X27" s="743"/>
      <c r="Y27" s="743"/>
      <c r="Z27" s="743"/>
      <c r="AA27" s="743"/>
      <c r="AB27" s="743"/>
      <c r="AC27" s="743"/>
      <c r="AD27" s="743"/>
      <c r="AE27" s="743"/>
      <c r="AF27" s="743"/>
    </row>
    <row r="28" spans="1:32" ht="13.5" thickBot="1">
      <c r="A28" s="795" t="s">
        <v>145</v>
      </c>
      <c r="B28" s="746"/>
      <c r="C28" s="747"/>
      <c r="D28" s="748">
        <v>22</v>
      </c>
      <c r="E28" s="749" t="s">
        <v>41</v>
      </c>
      <c r="F28" s="743"/>
      <c r="G28" s="744"/>
      <c r="H28" s="744"/>
      <c r="I28" s="744"/>
      <c r="J28" s="744"/>
      <c r="K28" s="743"/>
      <c r="L28" s="743"/>
      <c r="M28" s="743"/>
      <c r="N28" s="743"/>
      <c r="O28" s="743"/>
      <c r="P28" s="743"/>
      <c r="Q28" s="743"/>
      <c r="R28" s="743"/>
      <c r="S28" s="743"/>
      <c r="T28" s="743"/>
      <c r="U28" s="743"/>
      <c r="V28" s="743"/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</row>
    <row r="29" spans="1:32" ht="12.75">
      <c r="A29" s="745"/>
      <c r="B29" s="746"/>
      <c r="C29" s="747"/>
      <c r="D29" s="751"/>
      <c r="E29" s="752"/>
      <c r="F29" s="743"/>
      <c r="G29" s="744"/>
      <c r="H29" s="744"/>
      <c r="I29" s="744"/>
      <c r="J29" s="744"/>
      <c r="K29" s="743"/>
      <c r="L29" s="743"/>
      <c r="M29" s="743"/>
      <c r="N29" s="743"/>
      <c r="O29" s="743"/>
      <c r="P29" s="743"/>
      <c r="Q29" s="743"/>
      <c r="R29" s="743"/>
      <c r="S29" s="743"/>
      <c r="T29" s="743"/>
      <c r="U29" s="743"/>
      <c r="V29" s="743"/>
      <c r="W29" s="743"/>
      <c r="X29" s="743"/>
      <c r="Y29" s="743"/>
      <c r="Z29" s="743"/>
      <c r="AA29" s="743"/>
      <c r="AB29" s="743"/>
      <c r="AC29" s="743"/>
      <c r="AD29" s="743"/>
      <c r="AE29" s="743"/>
      <c r="AF29" s="743"/>
    </row>
    <row r="30" spans="1:32" ht="12.75">
      <c r="A30" s="753"/>
      <c r="B30" s="744"/>
      <c r="C30" s="747"/>
      <c r="D30" s="1094"/>
      <c r="E30" s="752"/>
      <c r="F30" s="743"/>
      <c r="G30" s="744"/>
      <c r="H30" s="744"/>
      <c r="I30" s="744"/>
      <c r="J30" s="744"/>
      <c r="K30" s="743"/>
      <c r="L30" s="743"/>
      <c r="M30" s="743"/>
      <c r="N30" s="743"/>
      <c r="O30" s="743"/>
      <c r="P30" s="743"/>
      <c r="Q30" s="743"/>
      <c r="R30" s="743"/>
      <c r="S30" s="743"/>
      <c r="T30" s="743"/>
      <c r="U30" s="743"/>
      <c r="V30" s="743"/>
      <c r="W30" s="743"/>
      <c r="X30" s="743"/>
      <c r="Y30" s="743"/>
      <c r="Z30" s="743"/>
      <c r="AA30" s="743"/>
      <c r="AB30" s="743"/>
      <c r="AC30" s="743"/>
      <c r="AD30" s="743"/>
      <c r="AE30" s="743"/>
      <c r="AF30" s="743"/>
    </row>
    <row r="31" spans="1:32" ht="13.5" thickBot="1">
      <c r="A31" s="745"/>
      <c r="B31" s="744"/>
      <c r="C31" s="747"/>
      <c r="D31" s="754"/>
      <c r="E31" s="752"/>
      <c r="F31" s="743"/>
      <c r="G31" s="744"/>
      <c r="H31" s="744"/>
      <c r="I31" s="744"/>
      <c r="J31" s="744"/>
      <c r="K31" s="743"/>
      <c r="L31" s="743"/>
      <c r="M31" s="743"/>
      <c r="N31" s="743"/>
      <c r="O31" s="743"/>
      <c r="P31" s="743"/>
      <c r="Q31" s="743"/>
      <c r="R31" s="743"/>
      <c r="S31" s="743"/>
      <c r="T31" s="743"/>
      <c r="U31" s="743"/>
      <c r="V31" s="743"/>
      <c r="W31" s="743"/>
      <c r="X31" s="743"/>
      <c r="Y31" s="743"/>
      <c r="Z31" s="743"/>
      <c r="AA31" s="743"/>
      <c r="AB31" s="743"/>
      <c r="AC31" s="743"/>
      <c r="AD31" s="743"/>
      <c r="AE31" s="743"/>
      <c r="AF31" s="743"/>
    </row>
    <row r="32" spans="1:32" ht="13.5" thickBot="1">
      <c r="A32" s="753" t="s">
        <v>147</v>
      </c>
      <c r="B32" s="746"/>
      <c r="C32" s="747"/>
      <c r="D32" s="772">
        <v>7</v>
      </c>
      <c r="E32" s="752"/>
      <c r="F32" s="743" t="s">
        <v>146</v>
      </c>
      <c r="G32" s="744"/>
      <c r="H32" s="744"/>
      <c r="I32" s="744"/>
      <c r="J32" s="744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43"/>
      <c r="X32" s="743"/>
      <c r="Y32" s="743"/>
      <c r="Z32" s="743"/>
      <c r="AA32" s="743"/>
      <c r="AB32" s="743"/>
      <c r="AC32" s="743"/>
      <c r="AD32" s="743"/>
      <c r="AE32" s="743"/>
      <c r="AF32" s="743"/>
    </row>
    <row r="33" spans="1:32" ht="13.5" thickBot="1">
      <c r="A33" s="753" t="s">
        <v>152</v>
      </c>
      <c r="B33" s="746"/>
      <c r="C33" s="747"/>
      <c r="D33" s="772">
        <f>1944</f>
        <v>1944</v>
      </c>
      <c r="E33" s="752" t="s">
        <v>150</v>
      </c>
      <c r="F33" s="743"/>
      <c r="G33" s="744"/>
      <c r="H33" s="744"/>
      <c r="I33" s="744"/>
      <c r="J33" s="744"/>
      <c r="K33" s="743"/>
      <c r="L33" s="743"/>
      <c r="M33" s="743"/>
      <c r="N33" s="743"/>
      <c r="O33" s="743"/>
      <c r="P33" s="743"/>
      <c r="Q33" s="743"/>
      <c r="R33" s="743"/>
      <c r="S33" s="743"/>
      <c r="T33" s="743"/>
      <c r="U33" s="743"/>
      <c r="V33" s="743"/>
      <c r="W33" s="743"/>
      <c r="X33" s="743"/>
      <c r="Y33" s="743"/>
      <c r="Z33" s="743"/>
      <c r="AA33" s="743"/>
      <c r="AB33" s="743"/>
      <c r="AC33" s="743"/>
      <c r="AD33" s="743"/>
      <c r="AE33" s="743"/>
      <c r="AF33" s="743"/>
    </row>
    <row r="34" spans="1:32" ht="13.5" thickBot="1">
      <c r="A34" s="1092"/>
      <c r="B34" s="746"/>
      <c r="C34" s="747"/>
      <c r="D34" s="1094"/>
      <c r="E34" s="752"/>
      <c r="F34" s="743"/>
      <c r="G34" s="744"/>
      <c r="H34" s="744"/>
      <c r="I34" s="744"/>
      <c r="J34" s="744"/>
      <c r="K34" s="743"/>
      <c r="L34" s="743"/>
      <c r="M34" s="743"/>
      <c r="N34" s="743"/>
      <c r="O34" s="743"/>
      <c r="P34" s="743"/>
      <c r="Q34" s="743"/>
      <c r="R34" s="743"/>
      <c r="S34" s="743"/>
      <c r="T34" s="743"/>
      <c r="U34" s="743"/>
      <c r="V34" s="743"/>
      <c r="W34" s="743"/>
      <c r="X34" s="743"/>
      <c r="Y34" s="743"/>
      <c r="Z34" s="743"/>
      <c r="AA34" s="743"/>
      <c r="AB34" s="743"/>
      <c r="AC34" s="743"/>
      <c r="AD34" s="743"/>
      <c r="AE34" s="743"/>
      <c r="AF34" s="743"/>
    </row>
    <row r="35" spans="1:32" ht="13.5" thickBot="1">
      <c r="A35" s="753" t="s">
        <v>151</v>
      </c>
      <c r="B35" s="746"/>
      <c r="C35" s="747"/>
      <c r="D35" s="778">
        <v>0.9</v>
      </c>
      <c r="E35" s="752"/>
      <c r="F35" s="743"/>
      <c r="G35" s="744"/>
      <c r="H35" s="744"/>
      <c r="I35" s="744"/>
      <c r="J35" s="744"/>
      <c r="K35" s="743"/>
      <c r="L35" s="743"/>
      <c r="M35" s="743"/>
      <c r="N35" s="743"/>
      <c r="O35" s="743"/>
      <c r="P35" s="743"/>
      <c r="Q35" s="743"/>
      <c r="R35" s="743"/>
      <c r="S35" s="743"/>
      <c r="T35" s="743"/>
      <c r="U35" s="743"/>
      <c r="V35" s="743"/>
      <c r="W35" s="743"/>
      <c r="X35" s="743"/>
      <c r="Y35" s="743"/>
      <c r="Z35" s="743"/>
      <c r="AA35" s="743"/>
      <c r="AB35" s="743"/>
      <c r="AC35" s="743"/>
      <c r="AD35" s="743"/>
      <c r="AE35" s="743"/>
      <c r="AF35" s="743"/>
    </row>
    <row r="36" spans="1:32" ht="13.5" thickBot="1">
      <c r="A36" s="1092"/>
      <c r="B36" s="746"/>
      <c r="C36" s="747"/>
      <c r="D36" s="1094"/>
      <c r="E36" s="752"/>
      <c r="F36" s="743"/>
      <c r="G36" s="744"/>
      <c r="H36" s="744"/>
      <c r="I36" s="744"/>
      <c r="J36" s="744"/>
      <c r="K36" s="743"/>
      <c r="L36" s="743"/>
      <c r="M36" s="743"/>
      <c r="N36" s="743"/>
      <c r="O36" s="743"/>
      <c r="P36" s="743"/>
      <c r="Q36" s="743"/>
      <c r="R36" s="743"/>
      <c r="S36" s="743"/>
      <c r="T36" s="743"/>
      <c r="U36" s="743"/>
      <c r="V36" s="743"/>
      <c r="W36" s="743"/>
      <c r="X36" s="743"/>
      <c r="Y36" s="743"/>
      <c r="Z36" s="743"/>
      <c r="AA36" s="743"/>
      <c r="AB36" s="743"/>
      <c r="AC36" s="743"/>
      <c r="AD36" s="743"/>
      <c r="AE36" s="743"/>
      <c r="AF36" s="743"/>
    </row>
    <row r="37" spans="1:32" ht="13.5" thickBot="1">
      <c r="A37" s="753" t="s">
        <v>148</v>
      </c>
      <c r="B37" s="746"/>
      <c r="C37" s="747"/>
      <c r="D37" s="772">
        <v>100</v>
      </c>
      <c r="E37" s="752" t="s">
        <v>149</v>
      </c>
      <c r="F37" s="743"/>
      <c r="G37" s="744"/>
      <c r="H37" s="744"/>
      <c r="I37" s="744"/>
      <c r="J37" s="744"/>
      <c r="K37" s="743"/>
      <c r="L37" s="743"/>
      <c r="M37" s="743"/>
      <c r="N37" s="743"/>
      <c r="O37" s="743"/>
      <c r="P37" s="743"/>
      <c r="Q37" s="743"/>
      <c r="R37" s="743"/>
      <c r="S37" s="743"/>
      <c r="T37" s="743"/>
      <c r="U37" s="743"/>
      <c r="V37" s="743"/>
      <c r="W37" s="743"/>
      <c r="X37" s="743"/>
      <c r="Y37" s="743"/>
      <c r="Z37" s="743"/>
      <c r="AA37" s="743"/>
      <c r="AB37" s="743"/>
      <c r="AC37" s="743"/>
      <c r="AD37" s="743"/>
      <c r="AE37" s="743"/>
      <c r="AF37" s="743"/>
    </row>
    <row r="38" spans="1:32" ht="13.5" thickBot="1">
      <c r="A38" s="1092"/>
      <c r="B38" s="746"/>
      <c r="C38" s="747"/>
      <c r="D38" s="1094"/>
      <c r="E38" s="752"/>
      <c r="F38" s="743"/>
      <c r="G38" s="744"/>
      <c r="H38" s="744"/>
      <c r="I38" s="744"/>
      <c r="J38" s="744"/>
      <c r="K38" s="743"/>
      <c r="L38" s="743"/>
      <c r="M38" s="743"/>
      <c r="N38" s="743"/>
      <c r="O38" s="743"/>
      <c r="P38" s="743"/>
      <c r="Q38" s="743"/>
      <c r="R38" s="743"/>
      <c r="S38" s="743"/>
      <c r="T38" s="743"/>
      <c r="U38" s="743"/>
      <c r="V38" s="743"/>
      <c r="W38" s="743"/>
      <c r="X38" s="743"/>
      <c r="Y38" s="743"/>
      <c r="Z38" s="743"/>
      <c r="AA38" s="743"/>
      <c r="AB38" s="743"/>
      <c r="AC38" s="743"/>
      <c r="AD38" s="743"/>
      <c r="AE38" s="743"/>
      <c r="AF38" s="743"/>
    </row>
    <row r="39" spans="1:32" ht="13.5" thickBot="1">
      <c r="A39" s="1092"/>
      <c r="B39" s="746"/>
      <c r="C39" s="747"/>
      <c r="D39" s="836">
        <f>D33/1000*D35*D37</f>
        <v>174.96</v>
      </c>
      <c r="E39" s="752" t="s">
        <v>153</v>
      </c>
      <c r="F39" s="743"/>
      <c r="G39" s="744"/>
      <c r="H39" s="744"/>
      <c r="I39" s="744"/>
      <c r="J39" s="744"/>
      <c r="K39" s="743"/>
      <c r="L39" s="743"/>
      <c r="M39" s="743"/>
      <c r="N39" s="743"/>
      <c r="O39" s="743"/>
      <c r="P39" s="743"/>
      <c r="Q39" s="743"/>
      <c r="R39" s="743"/>
      <c r="S39" s="743"/>
      <c r="T39" s="743"/>
      <c r="U39" s="743"/>
      <c r="V39" s="743"/>
      <c r="W39" s="743"/>
      <c r="X39" s="743"/>
      <c r="Y39" s="743"/>
      <c r="Z39" s="743"/>
      <c r="AA39" s="743"/>
      <c r="AB39" s="743"/>
      <c r="AC39" s="743"/>
      <c r="AD39" s="743"/>
      <c r="AE39" s="743"/>
      <c r="AF39" s="743"/>
    </row>
    <row r="40" spans="1:32" ht="12.75">
      <c r="A40" s="1092"/>
      <c r="B40" s="746"/>
      <c r="C40" s="747"/>
      <c r="D40" s="1094"/>
      <c r="E40" s="752"/>
      <c r="F40" s="743"/>
      <c r="G40" s="744"/>
      <c r="H40" s="744"/>
      <c r="I40" s="744"/>
      <c r="J40" s="744"/>
      <c r="K40" s="743"/>
      <c r="L40" s="743"/>
      <c r="M40" s="743"/>
      <c r="N40" s="743"/>
      <c r="O40" s="743"/>
      <c r="P40" s="743"/>
      <c r="Q40" s="743"/>
      <c r="R40" s="743"/>
      <c r="S40" s="743"/>
      <c r="T40" s="743"/>
      <c r="U40" s="743"/>
      <c r="V40" s="743"/>
      <c r="W40" s="743"/>
      <c r="X40" s="743"/>
      <c r="Y40" s="743"/>
      <c r="Z40" s="743"/>
      <c r="AA40" s="743"/>
      <c r="AB40" s="743"/>
      <c r="AC40" s="743"/>
      <c r="AD40" s="743"/>
      <c r="AE40" s="743"/>
      <c r="AF40" s="743"/>
    </row>
    <row r="41" spans="1:32" ht="13.5" thickBot="1">
      <c r="A41" s="1093"/>
      <c r="B41" s="787"/>
      <c r="C41" s="788"/>
      <c r="D41" s="1095"/>
      <c r="E41" s="790"/>
      <c r="F41" s="743"/>
      <c r="G41" s="744"/>
      <c r="H41" s="744"/>
      <c r="I41" s="744"/>
      <c r="J41" s="744"/>
      <c r="K41" s="743"/>
      <c r="L41" s="743"/>
      <c r="M41" s="743"/>
      <c r="N41" s="743"/>
      <c r="O41" s="743"/>
      <c r="P41" s="743"/>
      <c r="Q41" s="743"/>
      <c r="R41" s="743"/>
      <c r="S41" s="743"/>
      <c r="T41" s="743"/>
      <c r="U41" s="743"/>
      <c r="V41" s="743"/>
      <c r="W41" s="743"/>
      <c r="X41" s="743"/>
      <c r="Y41" s="743"/>
      <c r="Z41" s="743"/>
      <c r="AA41" s="743"/>
      <c r="AB41" s="743"/>
      <c r="AC41" s="743"/>
      <c r="AD41" s="743"/>
      <c r="AE41" s="743"/>
      <c r="AF41" s="743"/>
    </row>
    <row r="42" spans="1:32" ht="13.5" thickBot="1">
      <c r="A42" s="791"/>
      <c r="B42" s="792"/>
      <c r="C42" s="793"/>
      <c r="D42" s="794"/>
      <c r="E42" s="743"/>
      <c r="F42" s="743"/>
      <c r="G42" s="744"/>
      <c r="H42" s="744"/>
      <c r="I42" s="744"/>
      <c r="J42" s="744"/>
      <c r="K42" s="743"/>
      <c r="L42" s="743"/>
      <c r="M42" s="743"/>
      <c r="N42" s="743"/>
      <c r="O42" s="743"/>
      <c r="P42" s="743"/>
      <c r="Q42" s="743"/>
      <c r="R42" s="743"/>
      <c r="S42" s="743"/>
      <c r="T42" s="743"/>
      <c r="U42" s="743"/>
      <c r="V42" s="743"/>
      <c r="W42" s="743"/>
      <c r="X42" s="743"/>
      <c r="Y42" s="743"/>
      <c r="Z42" s="743"/>
      <c r="AA42" s="743"/>
      <c r="AB42" s="743"/>
      <c r="AC42" s="743"/>
      <c r="AD42" s="743"/>
      <c r="AE42" s="743"/>
      <c r="AF42" s="743"/>
    </row>
    <row r="43" spans="1:32" ht="13.5" thickBot="1">
      <c r="A43" s="738"/>
      <c r="B43" s="739"/>
      <c r="C43" s="740"/>
      <c r="D43" s="741"/>
      <c r="E43" s="742"/>
      <c r="F43" s="743"/>
      <c r="G43" s="744"/>
      <c r="H43" s="744"/>
      <c r="I43" s="744"/>
      <c r="J43" s="744"/>
      <c r="K43" s="743"/>
      <c r="L43" s="743"/>
      <c r="M43" s="743"/>
      <c r="N43" s="743"/>
      <c r="O43" s="743"/>
      <c r="P43" s="743"/>
      <c r="Q43" s="743"/>
      <c r="R43" s="743"/>
      <c r="S43" s="743"/>
      <c r="T43" s="743"/>
      <c r="U43" s="743"/>
      <c r="V43" s="743"/>
      <c r="W43" s="743"/>
      <c r="X43" s="743"/>
      <c r="Y43" s="743"/>
      <c r="Z43" s="743"/>
      <c r="AA43" s="743"/>
      <c r="AB43" s="743"/>
      <c r="AC43" s="743"/>
      <c r="AD43" s="743"/>
      <c r="AE43" s="743"/>
      <c r="AF43" s="743"/>
    </row>
    <row r="44" spans="1:32" ht="13.5" thickBot="1">
      <c r="A44" s="795" t="s">
        <v>42</v>
      </c>
      <c r="B44" s="746"/>
      <c r="C44" s="747"/>
      <c r="D44" s="748">
        <v>22</v>
      </c>
      <c r="E44" s="749" t="s">
        <v>41</v>
      </c>
      <c r="F44" s="743"/>
      <c r="G44" s="744"/>
      <c r="H44" s="744"/>
      <c r="I44" s="744"/>
      <c r="J44" s="744"/>
      <c r="K44" s="743"/>
      <c r="L44" s="743"/>
      <c r="M44" s="743"/>
      <c r="N44" s="743"/>
      <c r="O44" s="743"/>
      <c r="P44" s="743"/>
      <c r="Q44" s="743"/>
      <c r="R44" s="743"/>
      <c r="S44" s="743"/>
      <c r="T44" s="743"/>
      <c r="U44" s="743"/>
      <c r="V44" s="743"/>
      <c r="W44" s="743"/>
      <c r="X44" s="743"/>
      <c r="Y44" s="743"/>
      <c r="Z44" s="743"/>
      <c r="AA44" s="743"/>
      <c r="AB44" s="743"/>
      <c r="AC44" s="743"/>
      <c r="AD44" s="743"/>
      <c r="AE44" s="743"/>
      <c r="AF44" s="743"/>
    </row>
    <row r="45" spans="1:32" ht="13.5" thickBot="1">
      <c r="A45" s="745"/>
      <c r="B45" s="746"/>
      <c r="C45" s="747"/>
      <c r="D45" s="796"/>
      <c r="E45" s="752"/>
      <c r="F45" s="743"/>
      <c r="G45" s="744"/>
      <c r="H45" s="744"/>
      <c r="I45" s="744"/>
      <c r="J45" s="744"/>
      <c r="K45" s="743"/>
      <c r="L45" s="743"/>
      <c r="M45" s="743"/>
      <c r="N45" s="743"/>
      <c r="O45" s="743"/>
      <c r="P45" s="743"/>
      <c r="Q45" s="743"/>
      <c r="R45" s="743"/>
      <c r="S45" s="743"/>
      <c r="T45" s="743"/>
      <c r="U45" s="743"/>
      <c r="V45" s="743"/>
      <c r="W45" s="743"/>
      <c r="X45" s="743"/>
      <c r="Y45" s="743"/>
      <c r="Z45" s="743"/>
      <c r="AA45" s="743"/>
      <c r="AB45" s="743"/>
      <c r="AC45" s="743"/>
      <c r="AD45" s="743"/>
      <c r="AE45" s="743"/>
      <c r="AF45" s="743"/>
    </row>
    <row r="46" spans="1:32" ht="13.5" thickBot="1">
      <c r="A46" s="753" t="s">
        <v>75</v>
      </c>
      <c r="B46" s="744"/>
      <c r="C46" s="747"/>
      <c r="D46" s="778">
        <v>0.04</v>
      </c>
      <c r="E46" s="752"/>
      <c r="F46" s="743"/>
      <c r="G46" s="744"/>
      <c r="H46" s="744"/>
      <c r="I46" s="744"/>
      <c r="J46" s="744"/>
      <c r="K46" s="743"/>
      <c r="L46" s="743"/>
      <c r="M46" s="743"/>
      <c r="N46" s="743"/>
      <c r="O46" s="743"/>
      <c r="P46" s="743"/>
      <c r="Q46" s="743"/>
      <c r="R46" s="743"/>
      <c r="S46" s="743"/>
      <c r="T46" s="743"/>
      <c r="U46" s="743"/>
      <c r="V46" s="743"/>
      <c r="W46" s="743"/>
      <c r="X46" s="743"/>
      <c r="Y46" s="743"/>
      <c r="Z46" s="743"/>
      <c r="AA46" s="743"/>
      <c r="AB46" s="743"/>
      <c r="AC46" s="743"/>
      <c r="AD46" s="743"/>
      <c r="AE46" s="743"/>
      <c r="AF46" s="743"/>
    </row>
    <row r="47" spans="1:32" ht="13.5" thickBot="1">
      <c r="A47" s="745"/>
      <c r="B47" s="744"/>
      <c r="C47" s="747"/>
      <c r="D47" s="797"/>
      <c r="E47" s="752"/>
      <c r="F47" s="743"/>
      <c r="G47" s="744"/>
      <c r="H47" s="744"/>
      <c r="I47" s="744"/>
      <c r="J47" s="744"/>
      <c r="K47" s="769" t="s">
        <v>86</v>
      </c>
      <c r="L47" s="743"/>
      <c r="M47" s="743"/>
      <c r="N47" s="743"/>
      <c r="O47" s="743"/>
      <c r="P47" s="743"/>
      <c r="Q47" s="743"/>
      <c r="R47" s="743"/>
      <c r="S47" s="743"/>
      <c r="T47" s="743"/>
      <c r="U47" s="743"/>
      <c r="V47" s="743"/>
      <c r="W47" s="743"/>
      <c r="X47" s="743"/>
      <c r="Y47" s="743"/>
      <c r="Z47" s="743"/>
      <c r="AA47" s="743"/>
      <c r="AB47" s="743"/>
      <c r="AC47" s="743"/>
      <c r="AD47" s="743"/>
      <c r="AE47" s="743"/>
      <c r="AF47" s="743"/>
    </row>
    <row r="48" spans="1:32" ht="13.5" thickBot="1">
      <c r="A48" s="753" t="s">
        <v>125</v>
      </c>
      <c r="B48" s="746"/>
      <c r="C48" s="747"/>
      <c r="D48" s="772">
        <v>200000</v>
      </c>
      <c r="E48" s="752" t="s">
        <v>136</v>
      </c>
      <c r="F48" s="743"/>
      <c r="G48" s="744"/>
      <c r="H48" s="744" t="s">
        <v>132</v>
      </c>
      <c r="I48" s="743" t="str">
        <f>IF(J48=100%,"OK","ERROR")</f>
        <v>OK</v>
      </c>
      <c r="J48" s="798">
        <f>SUM(K48:AF48)/22</f>
        <v>1</v>
      </c>
      <c r="K48" s="773">
        <v>1</v>
      </c>
      <c r="L48" s="760">
        <v>1</v>
      </c>
      <c r="M48" s="760">
        <v>1</v>
      </c>
      <c r="N48" s="760">
        <v>1</v>
      </c>
      <c r="O48" s="760">
        <v>1</v>
      </c>
      <c r="P48" s="760">
        <v>1</v>
      </c>
      <c r="Q48" s="760">
        <v>1</v>
      </c>
      <c r="R48" s="760">
        <v>1</v>
      </c>
      <c r="S48" s="760">
        <v>1</v>
      </c>
      <c r="T48" s="760">
        <v>1</v>
      </c>
      <c r="U48" s="760">
        <v>1</v>
      </c>
      <c r="V48" s="760">
        <v>1</v>
      </c>
      <c r="W48" s="760">
        <v>1</v>
      </c>
      <c r="X48" s="760">
        <v>1</v>
      </c>
      <c r="Y48" s="760">
        <v>1</v>
      </c>
      <c r="Z48" s="760">
        <v>1</v>
      </c>
      <c r="AA48" s="760">
        <v>1</v>
      </c>
      <c r="AB48" s="760">
        <v>1</v>
      </c>
      <c r="AC48" s="760">
        <v>1</v>
      </c>
      <c r="AD48" s="760">
        <v>1</v>
      </c>
      <c r="AE48" s="760">
        <v>1</v>
      </c>
      <c r="AF48" s="761">
        <v>1</v>
      </c>
    </row>
    <row r="49" spans="1:32" ht="13.5" thickBot="1">
      <c r="A49" s="753" t="s">
        <v>126</v>
      </c>
      <c r="B49" s="746"/>
      <c r="C49" s="747"/>
      <c r="D49" s="772">
        <v>10000</v>
      </c>
      <c r="E49" s="752" t="s">
        <v>137</v>
      </c>
      <c r="F49" s="743"/>
      <c r="G49" s="744"/>
      <c r="H49" s="744" t="s">
        <v>133</v>
      </c>
      <c r="I49" s="743" t="str">
        <f>IF(J49=100%,"OK","ERROR")</f>
        <v>OK</v>
      </c>
      <c r="J49" s="798">
        <f>SUM(K49:AF49)/22</f>
        <v>1</v>
      </c>
      <c r="K49" s="773">
        <v>1</v>
      </c>
      <c r="L49" s="760">
        <v>1</v>
      </c>
      <c r="M49" s="760">
        <v>1</v>
      </c>
      <c r="N49" s="760">
        <v>1</v>
      </c>
      <c r="O49" s="760">
        <v>1</v>
      </c>
      <c r="P49" s="760">
        <v>1</v>
      </c>
      <c r="Q49" s="760">
        <v>1</v>
      </c>
      <c r="R49" s="760">
        <v>1</v>
      </c>
      <c r="S49" s="760">
        <v>1</v>
      </c>
      <c r="T49" s="760">
        <v>1</v>
      </c>
      <c r="U49" s="760">
        <v>1</v>
      </c>
      <c r="V49" s="760">
        <v>1</v>
      </c>
      <c r="W49" s="760">
        <v>1</v>
      </c>
      <c r="X49" s="760">
        <v>1</v>
      </c>
      <c r="Y49" s="760">
        <v>1</v>
      </c>
      <c r="Z49" s="760">
        <v>1</v>
      </c>
      <c r="AA49" s="760">
        <v>1</v>
      </c>
      <c r="AB49" s="760">
        <v>1</v>
      </c>
      <c r="AC49" s="760">
        <v>1</v>
      </c>
      <c r="AD49" s="760">
        <v>1</v>
      </c>
      <c r="AE49" s="760">
        <v>1</v>
      </c>
      <c r="AF49" s="761">
        <v>1</v>
      </c>
    </row>
    <row r="50" spans="1:32" ht="13.5" thickBot="1">
      <c r="A50" s="770"/>
      <c r="B50" s="746"/>
      <c r="C50" s="747"/>
      <c r="D50" s="799"/>
      <c r="E50" s="752"/>
      <c r="F50" s="743"/>
      <c r="G50" s="744"/>
      <c r="H50" s="744"/>
      <c r="I50" s="744"/>
      <c r="J50" s="744"/>
      <c r="K50" s="769"/>
      <c r="L50" s="743"/>
      <c r="M50" s="743"/>
      <c r="N50" s="743"/>
      <c r="O50" s="743"/>
      <c r="P50" s="743"/>
      <c r="Q50" s="743"/>
      <c r="R50" s="743"/>
      <c r="S50" s="743"/>
      <c r="T50" s="743"/>
      <c r="U50" s="743"/>
      <c r="V50" s="743"/>
      <c r="W50" s="743"/>
      <c r="X50" s="743"/>
      <c r="Y50" s="743"/>
      <c r="Z50" s="743"/>
      <c r="AA50" s="743"/>
      <c r="AB50" s="743"/>
      <c r="AC50" s="743"/>
      <c r="AD50" s="743"/>
      <c r="AE50" s="743"/>
      <c r="AF50" s="743"/>
    </row>
    <row r="51" spans="1:32" ht="13.5" thickBot="1">
      <c r="A51" s="753" t="s">
        <v>56</v>
      </c>
      <c r="B51" s="766"/>
      <c r="C51" s="767"/>
      <c r="D51" s="800">
        <v>3.5</v>
      </c>
      <c r="E51" s="749" t="s">
        <v>54</v>
      </c>
      <c r="F51" s="801" t="s">
        <v>109</v>
      </c>
      <c r="G51" s="755"/>
      <c r="H51" s="755"/>
      <c r="I51" s="802"/>
      <c r="J51" s="803"/>
      <c r="K51" s="803"/>
      <c r="L51" s="803"/>
      <c r="M51" s="803"/>
      <c r="N51" s="803"/>
      <c r="O51" s="803"/>
      <c r="P51" s="803"/>
      <c r="Q51" s="803"/>
      <c r="R51" s="803"/>
      <c r="S51" s="803"/>
      <c r="T51" s="803"/>
      <c r="U51" s="803"/>
      <c r="V51" s="803"/>
      <c r="W51" s="803"/>
      <c r="X51" s="803"/>
      <c r="Y51" s="803"/>
      <c r="Z51" s="803"/>
      <c r="AA51" s="803"/>
      <c r="AB51" s="803"/>
      <c r="AC51" s="803"/>
      <c r="AD51" s="803"/>
      <c r="AE51" s="803"/>
      <c r="AF51" s="803"/>
    </row>
    <row r="52" spans="1:32" ht="13.5" thickBot="1">
      <c r="A52" s="770" t="s">
        <v>128</v>
      </c>
      <c r="B52" s="746"/>
      <c r="C52" s="747"/>
      <c r="D52" s="804">
        <v>10</v>
      </c>
      <c r="E52" s="752" t="s">
        <v>127</v>
      </c>
      <c r="F52" s="805" t="s">
        <v>109</v>
      </c>
      <c r="G52" s="744"/>
      <c r="H52" s="744"/>
      <c r="I52" s="744"/>
      <c r="J52" s="806"/>
      <c r="K52" s="806"/>
      <c r="L52" s="806"/>
      <c r="M52" s="806"/>
      <c r="N52" s="806"/>
      <c r="O52" s="806"/>
      <c r="P52" s="806"/>
      <c r="Q52" s="806"/>
      <c r="R52" s="806"/>
      <c r="S52" s="806"/>
      <c r="T52" s="806"/>
      <c r="U52" s="806"/>
      <c r="V52" s="806"/>
      <c r="W52" s="806"/>
      <c r="X52" s="806"/>
      <c r="Y52" s="806"/>
      <c r="Z52" s="806"/>
      <c r="AA52" s="806"/>
      <c r="AB52" s="806"/>
      <c r="AC52" s="806"/>
      <c r="AD52" s="806"/>
      <c r="AE52" s="806"/>
      <c r="AF52" s="806"/>
    </row>
    <row r="53" spans="1:32" ht="13.5" thickBot="1">
      <c r="A53" s="770" t="s">
        <v>128</v>
      </c>
      <c r="B53" s="746"/>
      <c r="C53" s="747"/>
      <c r="D53" s="804">
        <v>0</v>
      </c>
      <c r="E53" s="752" t="s">
        <v>129</v>
      </c>
      <c r="F53" s="807" t="s">
        <v>109</v>
      </c>
      <c r="G53" s="744"/>
      <c r="H53" s="744"/>
      <c r="I53" s="808"/>
      <c r="J53" s="806"/>
      <c r="K53" s="802"/>
      <c r="L53" s="806"/>
      <c r="M53" s="806"/>
      <c r="N53" s="806"/>
      <c r="O53" s="806"/>
      <c r="P53" s="806"/>
      <c r="Q53" s="806"/>
      <c r="R53" s="806"/>
      <c r="S53" s="806"/>
      <c r="T53" s="806"/>
      <c r="U53" s="806"/>
      <c r="V53" s="806"/>
      <c r="W53" s="806"/>
      <c r="X53" s="806"/>
      <c r="Y53" s="806"/>
      <c r="Z53" s="806"/>
      <c r="AA53" s="806"/>
      <c r="AB53" s="806"/>
      <c r="AC53" s="806"/>
      <c r="AD53" s="806"/>
      <c r="AE53" s="806"/>
      <c r="AF53" s="806"/>
    </row>
    <row r="54" spans="1:124" ht="13.5" thickBot="1">
      <c r="A54" s="753" t="s">
        <v>57</v>
      </c>
      <c r="B54" s="766"/>
      <c r="C54" s="767"/>
      <c r="D54" s="809">
        <f>AVERAGE(K54:AF54)</f>
        <v>1.0292999999999994</v>
      </c>
      <c r="E54" s="749" t="s">
        <v>83</v>
      </c>
      <c r="F54" s="801" t="s">
        <v>109</v>
      </c>
      <c r="G54" s="755"/>
      <c r="H54" s="755"/>
      <c r="I54" s="802"/>
      <c r="J54" s="803"/>
      <c r="K54" s="810">
        <f aca="true" t="shared" si="0" ref="K54:BV54">$D$52/1000*1.41*$D$48*K48*365/1000000+$D$53/1000*1.41*$D$49*K49*365/1000000</f>
        <v>1.0293</v>
      </c>
      <c r="L54" s="810">
        <f t="shared" si="0"/>
        <v>1.0293</v>
      </c>
      <c r="M54" s="810">
        <f t="shared" si="0"/>
        <v>1.0293</v>
      </c>
      <c r="N54" s="810">
        <f t="shared" si="0"/>
        <v>1.0293</v>
      </c>
      <c r="O54" s="810">
        <f t="shared" si="0"/>
        <v>1.0293</v>
      </c>
      <c r="P54" s="810">
        <f t="shared" si="0"/>
        <v>1.0293</v>
      </c>
      <c r="Q54" s="810">
        <f t="shared" si="0"/>
        <v>1.0293</v>
      </c>
      <c r="R54" s="810">
        <f t="shared" si="0"/>
        <v>1.0293</v>
      </c>
      <c r="S54" s="810">
        <f t="shared" si="0"/>
        <v>1.0293</v>
      </c>
      <c r="T54" s="810">
        <f t="shared" si="0"/>
        <v>1.0293</v>
      </c>
      <c r="U54" s="810">
        <f t="shared" si="0"/>
        <v>1.0293</v>
      </c>
      <c r="V54" s="810">
        <f t="shared" si="0"/>
        <v>1.0293</v>
      </c>
      <c r="W54" s="810">
        <f t="shared" si="0"/>
        <v>1.0293</v>
      </c>
      <c r="X54" s="810">
        <f t="shared" si="0"/>
        <v>1.0293</v>
      </c>
      <c r="Y54" s="810">
        <f t="shared" si="0"/>
        <v>1.0293</v>
      </c>
      <c r="Z54" s="810">
        <f t="shared" si="0"/>
        <v>1.0293</v>
      </c>
      <c r="AA54" s="810">
        <f t="shared" si="0"/>
        <v>1.0293</v>
      </c>
      <c r="AB54" s="810">
        <f t="shared" si="0"/>
        <v>1.0293</v>
      </c>
      <c r="AC54" s="810">
        <f t="shared" si="0"/>
        <v>1.0293</v>
      </c>
      <c r="AD54" s="810">
        <f t="shared" si="0"/>
        <v>1.0293</v>
      </c>
      <c r="AE54" s="810">
        <f t="shared" si="0"/>
        <v>1.0293</v>
      </c>
      <c r="AF54" s="810">
        <f t="shared" si="0"/>
        <v>1.0293</v>
      </c>
      <c r="AG54">
        <f t="shared" si="0"/>
        <v>0</v>
      </c>
      <c r="AH54">
        <f t="shared" si="0"/>
        <v>0</v>
      </c>
      <c r="AI54">
        <f t="shared" si="0"/>
        <v>0</v>
      </c>
      <c r="AJ54">
        <f t="shared" si="0"/>
        <v>0</v>
      </c>
      <c r="AK54">
        <f t="shared" si="0"/>
        <v>0</v>
      </c>
      <c r="AL54">
        <f t="shared" si="0"/>
        <v>0</v>
      </c>
      <c r="AM54">
        <f t="shared" si="0"/>
        <v>0</v>
      </c>
      <c r="AN54">
        <f t="shared" si="0"/>
        <v>0</v>
      </c>
      <c r="AO54">
        <f t="shared" si="0"/>
        <v>0</v>
      </c>
      <c r="AP54">
        <f t="shared" si="0"/>
        <v>0</v>
      </c>
      <c r="AQ54">
        <f t="shared" si="0"/>
        <v>0</v>
      </c>
      <c r="AR54">
        <f t="shared" si="0"/>
        <v>0</v>
      </c>
      <c r="AS54">
        <f t="shared" si="0"/>
        <v>0</v>
      </c>
      <c r="AT54">
        <f t="shared" si="0"/>
        <v>0</v>
      </c>
      <c r="AU54">
        <f t="shared" si="0"/>
        <v>0</v>
      </c>
      <c r="AV54">
        <f t="shared" si="0"/>
        <v>0</v>
      </c>
      <c r="AW54">
        <f t="shared" si="0"/>
        <v>0</v>
      </c>
      <c r="AX54">
        <f t="shared" si="0"/>
        <v>0</v>
      </c>
      <c r="AY54">
        <f t="shared" si="0"/>
        <v>0</v>
      </c>
      <c r="AZ54">
        <f t="shared" si="0"/>
        <v>0</v>
      </c>
      <c r="BA54">
        <f t="shared" si="0"/>
        <v>0</v>
      </c>
      <c r="BB54">
        <f t="shared" si="0"/>
        <v>0</v>
      </c>
      <c r="BC54">
        <f t="shared" si="0"/>
        <v>0</v>
      </c>
      <c r="BD54">
        <f t="shared" si="0"/>
        <v>0</v>
      </c>
      <c r="BE54">
        <f t="shared" si="0"/>
        <v>0</v>
      </c>
      <c r="BF54">
        <f t="shared" si="0"/>
        <v>0</v>
      </c>
      <c r="BG54">
        <f t="shared" si="0"/>
        <v>0</v>
      </c>
      <c r="BH54">
        <f t="shared" si="0"/>
        <v>0</v>
      </c>
      <c r="BI54">
        <f t="shared" si="0"/>
        <v>0</v>
      </c>
      <c r="BJ54">
        <f t="shared" si="0"/>
        <v>0</v>
      </c>
      <c r="BK54">
        <f t="shared" si="0"/>
        <v>0</v>
      </c>
      <c r="BL54">
        <f t="shared" si="0"/>
        <v>0</v>
      </c>
      <c r="BM54">
        <f t="shared" si="0"/>
        <v>0</v>
      </c>
      <c r="BN54">
        <f t="shared" si="0"/>
        <v>0</v>
      </c>
      <c r="BO54">
        <f t="shared" si="0"/>
        <v>0</v>
      </c>
      <c r="BP54">
        <f t="shared" si="0"/>
        <v>0</v>
      </c>
      <c r="BQ54">
        <f t="shared" si="0"/>
        <v>0</v>
      </c>
      <c r="BR54">
        <f t="shared" si="0"/>
        <v>0</v>
      </c>
      <c r="BS54">
        <f t="shared" si="0"/>
        <v>0</v>
      </c>
      <c r="BT54">
        <f t="shared" si="0"/>
        <v>0</v>
      </c>
      <c r="BU54">
        <f t="shared" si="0"/>
        <v>0</v>
      </c>
      <c r="BV54">
        <f t="shared" si="0"/>
        <v>0</v>
      </c>
      <c r="BW54">
        <f aca="true" t="shared" si="1" ref="BW54:DT54">$D$52/1000*1.41*$D$48*BW48*365/1000000+$D$53/1000*1.41*$D$49*BW49*365/1000000</f>
        <v>0</v>
      </c>
      <c r="BX54">
        <f t="shared" si="1"/>
        <v>0</v>
      </c>
      <c r="BY54">
        <f t="shared" si="1"/>
        <v>0</v>
      </c>
      <c r="BZ54">
        <f t="shared" si="1"/>
        <v>0</v>
      </c>
      <c r="CA54">
        <f t="shared" si="1"/>
        <v>0</v>
      </c>
      <c r="CB54">
        <f t="shared" si="1"/>
        <v>0</v>
      </c>
      <c r="CC54">
        <f t="shared" si="1"/>
        <v>0</v>
      </c>
      <c r="CD54">
        <f t="shared" si="1"/>
        <v>0</v>
      </c>
      <c r="CE54">
        <f t="shared" si="1"/>
        <v>0</v>
      </c>
      <c r="CF54">
        <f t="shared" si="1"/>
        <v>0</v>
      </c>
      <c r="CG54">
        <f t="shared" si="1"/>
        <v>0</v>
      </c>
      <c r="CH54">
        <f t="shared" si="1"/>
        <v>0</v>
      </c>
      <c r="CI54">
        <f t="shared" si="1"/>
        <v>0</v>
      </c>
      <c r="CJ54">
        <f t="shared" si="1"/>
        <v>0</v>
      </c>
      <c r="CK54">
        <f t="shared" si="1"/>
        <v>0</v>
      </c>
      <c r="CL54">
        <f t="shared" si="1"/>
        <v>0</v>
      </c>
      <c r="CM54">
        <f t="shared" si="1"/>
        <v>0</v>
      </c>
      <c r="CN54">
        <f t="shared" si="1"/>
        <v>0</v>
      </c>
      <c r="CO54">
        <f t="shared" si="1"/>
        <v>0</v>
      </c>
      <c r="CP54">
        <f t="shared" si="1"/>
        <v>0</v>
      </c>
      <c r="CQ54">
        <f t="shared" si="1"/>
        <v>0</v>
      </c>
      <c r="CR54">
        <f t="shared" si="1"/>
        <v>0</v>
      </c>
      <c r="CS54">
        <f t="shared" si="1"/>
        <v>0</v>
      </c>
      <c r="CT54">
        <f t="shared" si="1"/>
        <v>0</v>
      </c>
      <c r="CU54">
        <f t="shared" si="1"/>
        <v>0</v>
      </c>
      <c r="CV54">
        <f t="shared" si="1"/>
        <v>0</v>
      </c>
      <c r="CW54">
        <f t="shared" si="1"/>
        <v>0</v>
      </c>
      <c r="CX54">
        <f t="shared" si="1"/>
        <v>0</v>
      </c>
      <c r="CY54">
        <f t="shared" si="1"/>
        <v>0</v>
      </c>
      <c r="CZ54">
        <f t="shared" si="1"/>
        <v>0</v>
      </c>
      <c r="DA54">
        <f t="shared" si="1"/>
        <v>0</v>
      </c>
      <c r="DB54">
        <f t="shared" si="1"/>
        <v>0</v>
      </c>
      <c r="DC54">
        <f t="shared" si="1"/>
        <v>0</v>
      </c>
      <c r="DD54">
        <f t="shared" si="1"/>
        <v>0</v>
      </c>
      <c r="DE54">
        <f t="shared" si="1"/>
        <v>0</v>
      </c>
      <c r="DF54">
        <f t="shared" si="1"/>
        <v>0</v>
      </c>
      <c r="DG54">
        <f t="shared" si="1"/>
        <v>0</v>
      </c>
      <c r="DH54">
        <f t="shared" si="1"/>
        <v>0</v>
      </c>
      <c r="DI54">
        <f t="shared" si="1"/>
        <v>0</v>
      </c>
      <c r="DJ54">
        <f t="shared" si="1"/>
        <v>0</v>
      </c>
      <c r="DK54">
        <f t="shared" si="1"/>
        <v>0</v>
      </c>
      <c r="DL54">
        <f t="shared" si="1"/>
        <v>0</v>
      </c>
      <c r="DM54">
        <f t="shared" si="1"/>
        <v>0</v>
      </c>
      <c r="DN54">
        <f t="shared" si="1"/>
        <v>0</v>
      </c>
      <c r="DO54">
        <f t="shared" si="1"/>
        <v>0</v>
      </c>
      <c r="DP54">
        <f t="shared" si="1"/>
        <v>0</v>
      </c>
      <c r="DQ54">
        <f t="shared" si="1"/>
        <v>0</v>
      </c>
      <c r="DR54">
        <f t="shared" si="1"/>
        <v>0</v>
      </c>
      <c r="DS54">
        <f t="shared" si="1"/>
        <v>0</v>
      </c>
      <c r="DT54">
        <f t="shared" si="1"/>
        <v>0</v>
      </c>
    </row>
    <row r="55" spans="1:32" ht="13.5" thickBot="1">
      <c r="A55" s="753" t="s">
        <v>79</v>
      </c>
      <c r="B55" s="766"/>
      <c r="C55" s="767"/>
      <c r="D55" s="778">
        <f>10%/(1-14%)</f>
        <v>0.11627906976744187</v>
      </c>
      <c r="E55" s="749" t="s">
        <v>80</v>
      </c>
      <c r="F55" s="811" t="s">
        <v>134</v>
      </c>
      <c r="G55" s="755"/>
      <c r="H55" s="755"/>
      <c r="I55" s="755"/>
      <c r="J55" s="755"/>
      <c r="K55" s="769"/>
      <c r="L55" s="769"/>
      <c r="M55" s="769"/>
      <c r="N55" s="769"/>
      <c r="O55" s="769"/>
      <c r="P55" s="769"/>
      <c r="Q55" s="769"/>
      <c r="R55" s="769"/>
      <c r="S55" s="769"/>
      <c r="T55" s="769"/>
      <c r="U55" s="769"/>
      <c r="V55" s="769"/>
      <c r="W55" s="769"/>
      <c r="X55" s="769"/>
      <c r="Y55" s="769"/>
      <c r="Z55" s="769"/>
      <c r="AA55" s="769"/>
      <c r="AB55" s="769"/>
      <c r="AC55" s="769"/>
      <c r="AD55" s="769"/>
      <c r="AE55" s="769"/>
      <c r="AF55" s="769"/>
    </row>
    <row r="56" spans="1:32" ht="13.5" thickBot="1">
      <c r="A56" s="753"/>
      <c r="B56" s="766"/>
      <c r="C56" s="767"/>
      <c r="D56" s="797"/>
      <c r="E56" s="749"/>
      <c r="F56" s="812" t="s">
        <v>109</v>
      </c>
      <c r="G56" s="755"/>
      <c r="H56" s="755"/>
      <c r="I56" s="755"/>
      <c r="J56" s="755"/>
      <c r="K56" s="769"/>
      <c r="L56" s="769"/>
      <c r="M56" s="769"/>
      <c r="N56" s="769"/>
      <c r="O56" s="769"/>
      <c r="P56" s="769"/>
      <c r="Q56" s="769"/>
      <c r="R56" s="769"/>
      <c r="S56" s="769"/>
      <c r="T56" s="769"/>
      <c r="U56" s="769"/>
      <c r="V56" s="769"/>
      <c r="W56" s="769"/>
      <c r="X56" s="769"/>
      <c r="Y56" s="769"/>
      <c r="Z56" s="769"/>
      <c r="AA56" s="769"/>
      <c r="AB56" s="769"/>
      <c r="AC56" s="769"/>
      <c r="AD56" s="769"/>
      <c r="AE56" s="769"/>
      <c r="AF56" s="769"/>
    </row>
    <row r="57" spans="1:32" ht="13.5" thickBot="1">
      <c r="A57" s="770" t="s">
        <v>33</v>
      </c>
      <c r="B57" s="813"/>
      <c r="C57" s="767"/>
      <c r="D57" s="778">
        <v>0.1</v>
      </c>
      <c r="E57" s="814"/>
      <c r="F57" s="815" t="s">
        <v>135</v>
      </c>
      <c r="G57" s="808"/>
      <c r="H57" s="808"/>
      <c r="I57" s="808"/>
      <c r="J57" s="808"/>
      <c r="K57" s="816"/>
      <c r="L57" s="816"/>
      <c r="M57" s="816"/>
      <c r="N57" s="816"/>
      <c r="O57" s="816"/>
      <c r="P57" s="816"/>
      <c r="Q57" s="816"/>
      <c r="R57" s="816"/>
      <c r="S57" s="816"/>
      <c r="T57" s="816"/>
      <c r="U57" s="816"/>
      <c r="V57" s="816"/>
      <c r="W57" s="816"/>
      <c r="X57" s="816"/>
      <c r="Y57" s="816"/>
      <c r="Z57" s="816"/>
      <c r="AA57" s="816"/>
      <c r="AB57" s="816"/>
      <c r="AC57" s="816"/>
      <c r="AD57" s="816"/>
      <c r="AE57" s="816"/>
      <c r="AF57" s="816"/>
    </row>
    <row r="58" spans="1:32" ht="13.5" thickBot="1">
      <c r="A58" s="770" t="s">
        <v>93</v>
      </c>
      <c r="B58" s="817"/>
      <c r="C58" s="744"/>
      <c r="D58" s="818">
        <f>J58</f>
        <v>0.9999999999999997</v>
      </c>
      <c r="E58" s="752"/>
      <c r="F58" s="744"/>
      <c r="G58" s="744"/>
      <c r="H58" s="744"/>
      <c r="I58" s="743" t="str">
        <f>IF(J58=100%,"OK","ERROR")</f>
        <v>OK</v>
      </c>
      <c r="J58" s="798">
        <f>SUM(K58:AF58)</f>
        <v>0.9999999999999997</v>
      </c>
      <c r="K58" s="773">
        <f>1/22</f>
        <v>0.045454545454545456</v>
      </c>
      <c r="L58" s="773">
        <f aca="true" t="shared" si="2" ref="L58:AF58">1/22</f>
        <v>0.045454545454545456</v>
      </c>
      <c r="M58" s="773">
        <f t="shared" si="2"/>
        <v>0.045454545454545456</v>
      </c>
      <c r="N58" s="773">
        <f t="shared" si="2"/>
        <v>0.045454545454545456</v>
      </c>
      <c r="O58" s="773">
        <f t="shared" si="2"/>
        <v>0.045454545454545456</v>
      </c>
      <c r="P58" s="773">
        <f t="shared" si="2"/>
        <v>0.045454545454545456</v>
      </c>
      <c r="Q58" s="773">
        <f t="shared" si="2"/>
        <v>0.045454545454545456</v>
      </c>
      <c r="R58" s="773">
        <f t="shared" si="2"/>
        <v>0.045454545454545456</v>
      </c>
      <c r="S58" s="773">
        <f t="shared" si="2"/>
        <v>0.045454545454545456</v>
      </c>
      <c r="T58" s="773">
        <f t="shared" si="2"/>
        <v>0.045454545454545456</v>
      </c>
      <c r="U58" s="773">
        <f t="shared" si="2"/>
        <v>0.045454545454545456</v>
      </c>
      <c r="V58" s="773">
        <f t="shared" si="2"/>
        <v>0.045454545454545456</v>
      </c>
      <c r="W58" s="773">
        <f t="shared" si="2"/>
        <v>0.045454545454545456</v>
      </c>
      <c r="X58" s="773">
        <f t="shared" si="2"/>
        <v>0.045454545454545456</v>
      </c>
      <c r="Y58" s="773">
        <f t="shared" si="2"/>
        <v>0.045454545454545456</v>
      </c>
      <c r="Z58" s="773">
        <f t="shared" si="2"/>
        <v>0.045454545454545456</v>
      </c>
      <c r="AA58" s="773">
        <f t="shared" si="2"/>
        <v>0.045454545454545456</v>
      </c>
      <c r="AB58" s="773">
        <f t="shared" si="2"/>
        <v>0.045454545454545456</v>
      </c>
      <c r="AC58" s="773">
        <f t="shared" si="2"/>
        <v>0.045454545454545456</v>
      </c>
      <c r="AD58" s="773">
        <f t="shared" si="2"/>
        <v>0.045454545454545456</v>
      </c>
      <c r="AE58" s="773">
        <f t="shared" si="2"/>
        <v>0.045454545454545456</v>
      </c>
      <c r="AF58" s="773">
        <f t="shared" si="2"/>
        <v>0.045454545454545456</v>
      </c>
    </row>
    <row r="59" spans="1:32" ht="13.5" thickBot="1">
      <c r="A59" s="819" t="s">
        <v>94</v>
      </c>
      <c r="B59" s="820"/>
      <c r="C59" s="821"/>
      <c r="D59" s="822">
        <f>J59</f>
        <v>0.5</v>
      </c>
      <c r="E59" s="823" t="s">
        <v>54</v>
      </c>
      <c r="F59" s="824" t="s">
        <v>109</v>
      </c>
      <c r="G59" s="825"/>
      <c r="H59" s="825"/>
      <c r="I59" s="825"/>
      <c r="J59" s="826">
        <f>AVERAGE(K59:AF59)</f>
        <v>0.5</v>
      </c>
      <c r="K59" s="827">
        <f aca="true" t="shared" si="3" ref="K59:AF59">$D$14*$D$57*K58</f>
        <v>0.5</v>
      </c>
      <c r="L59" s="828">
        <f t="shared" si="3"/>
        <v>0.5</v>
      </c>
      <c r="M59" s="828">
        <f t="shared" si="3"/>
        <v>0.5</v>
      </c>
      <c r="N59" s="828">
        <f t="shared" si="3"/>
        <v>0.5</v>
      </c>
      <c r="O59" s="828">
        <f t="shared" si="3"/>
        <v>0.5</v>
      </c>
      <c r="P59" s="828">
        <f t="shared" si="3"/>
        <v>0.5</v>
      </c>
      <c r="Q59" s="828">
        <f t="shared" si="3"/>
        <v>0.5</v>
      </c>
      <c r="R59" s="828">
        <f t="shared" si="3"/>
        <v>0.5</v>
      </c>
      <c r="S59" s="828">
        <f t="shared" si="3"/>
        <v>0.5</v>
      </c>
      <c r="T59" s="828">
        <f t="shared" si="3"/>
        <v>0.5</v>
      </c>
      <c r="U59" s="828">
        <f t="shared" si="3"/>
        <v>0.5</v>
      </c>
      <c r="V59" s="828">
        <f t="shared" si="3"/>
        <v>0.5</v>
      </c>
      <c r="W59" s="828">
        <f t="shared" si="3"/>
        <v>0.5</v>
      </c>
      <c r="X59" s="828">
        <f t="shared" si="3"/>
        <v>0.5</v>
      </c>
      <c r="Y59" s="828">
        <f t="shared" si="3"/>
        <v>0.5</v>
      </c>
      <c r="Z59" s="828">
        <f t="shared" si="3"/>
        <v>0.5</v>
      </c>
      <c r="AA59" s="828">
        <f t="shared" si="3"/>
        <v>0.5</v>
      </c>
      <c r="AB59" s="828">
        <f t="shared" si="3"/>
        <v>0.5</v>
      </c>
      <c r="AC59" s="828">
        <f t="shared" si="3"/>
        <v>0.5</v>
      </c>
      <c r="AD59" s="828">
        <f t="shared" si="3"/>
        <v>0.5</v>
      </c>
      <c r="AE59" s="828">
        <f t="shared" si="3"/>
        <v>0.5</v>
      </c>
      <c r="AF59" s="829">
        <f t="shared" si="3"/>
        <v>0.5</v>
      </c>
    </row>
    <row r="60" spans="1:32" ht="13.5" thickBot="1">
      <c r="A60" s="830"/>
      <c r="B60" s="825"/>
      <c r="C60" s="831"/>
      <c r="D60" s="832"/>
      <c r="E60" s="823"/>
      <c r="F60" s="833" t="s">
        <v>109</v>
      </c>
      <c r="G60" s="825"/>
      <c r="H60" s="825"/>
      <c r="I60" s="825"/>
      <c r="J60" s="834"/>
      <c r="K60" s="835"/>
      <c r="L60" s="835"/>
      <c r="M60" s="835"/>
      <c r="N60" s="835"/>
      <c r="O60" s="835"/>
      <c r="P60" s="835"/>
      <c r="Q60" s="835"/>
      <c r="R60" s="835"/>
      <c r="S60" s="835"/>
      <c r="T60" s="835"/>
      <c r="U60" s="835"/>
      <c r="V60" s="835"/>
      <c r="W60" s="835"/>
      <c r="X60" s="835"/>
      <c r="Y60" s="835"/>
      <c r="Z60" s="835"/>
      <c r="AA60" s="835"/>
      <c r="AB60" s="835"/>
      <c r="AC60" s="835"/>
      <c r="AD60" s="835"/>
      <c r="AE60" s="835"/>
      <c r="AF60" s="835"/>
    </row>
    <row r="61" spans="1:32" ht="13.5" thickBot="1">
      <c r="A61" s="753" t="s">
        <v>64</v>
      </c>
      <c r="B61" s="766"/>
      <c r="C61" s="767"/>
      <c r="D61" s="778">
        <v>0.14</v>
      </c>
      <c r="E61" s="749"/>
      <c r="F61" s="812" t="s">
        <v>139</v>
      </c>
      <c r="G61" s="755"/>
      <c r="H61" s="755"/>
      <c r="I61" s="755"/>
      <c r="J61" s="755"/>
      <c r="K61" s="769"/>
      <c r="L61" s="769"/>
      <c r="M61" s="769"/>
      <c r="N61" s="769"/>
      <c r="O61" s="769"/>
      <c r="P61" s="769"/>
      <c r="Q61" s="769"/>
      <c r="R61" s="769"/>
      <c r="S61" s="769"/>
      <c r="T61" s="769"/>
      <c r="U61" s="769"/>
      <c r="V61" s="769"/>
      <c r="W61" s="769"/>
      <c r="X61" s="769"/>
      <c r="Y61" s="769"/>
      <c r="Z61" s="769"/>
      <c r="AA61" s="769"/>
      <c r="AB61" s="769"/>
      <c r="AC61" s="769"/>
      <c r="AD61" s="769"/>
      <c r="AE61" s="769"/>
      <c r="AF61" s="769"/>
    </row>
    <row r="62" spans="1:32" ht="13.5" thickBot="1">
      <c r="A62" s="770"/>
      <c r="B62" s="746"/>
      <c r="C62" s="747"/>
      <c r="D62" s="797"/>
      <c r="E62" s="752"/>
      <c r="F62" s="743"/>
      <c r="G62" s="744" t="s">
        <v>109</v>
      </c>
      <c r="H62" s="744"/>
      <c r="I62" s="744"/>
      <c r="J62" s="744"/>
      <c r="K62" s="743"/>
      <c r="L62" s="743"/>
      <c r="M62" s="743"/>
      <c r="N62" s="743"/>
      <c r="O62" s="743"/>
      <c r="P62" s="743"/>
      <c r="Q62" s="743"/>
      <c r="R62" s="743"/>
      <c r="S62" s="743"/>
      <c r="T62" s="743"/>
      <c r="U62" s="743"/>
      <c r="V62" s="743"/>
      <c r="W62" s="743"/>
      <c r="X62" s="743"/>
      <c r="Y62" s="743"/>
      <c r="Z62" s="743"/>
      <c r="AA62" s="743"/>
      <c r="AB62" s="743"/>
      <c r="AC62" s="743"/>
      <c r="AD62" s="743"/>
      <c r="AE62" s="743"/>
      <c r="AF62" s="743"/>
    </row>
    <row r="63" spans="1:32" ht="13.5" thickBot="1">
      <c r="A63" s="753" t="s">
        <v>97</v>
      </c>
      <c r="B63" s="766"/>
      <c r="C63" s="767"/>
      <c r="D63" s="836">
        <f>(((($D$51+$D$54)/1.41*1000000*1000)/($D$48*365))*(1+$D$55))+(($D$59/1.41*1000000*1000)/($D$48*365))</f>
        <v>53.97807044299693</v>
      </c>
      <c r="E63" s="749" t="s">
        <v>131</v>
      </c>
      <c r="F63" s="769"/>
      <c r="G63" s="755"/>
      <c r="H63" s="755"/>
      <c r="I63" s="755"/>
      <c r="J63" s="755"/>
      <c r="K63" s="769"/>
      <c r="L63" s="769"/>
      <c r="M63" s="769"/>
      <c r="N63" s="769"/>
      <c r="O63" s="769"/>
      <c r="P63" s="769"/>
      <c r="Q63" s="769"/>
      <c r="R63" s="769"/>
      <c r="S63" s="769">
        <f>1/22</f>
        <v>0.045454545454545456</v>
      </c>
      <c r="T63" s="769"/>
      <c r="U63" s="769"/>
      <c r="V63" s="769"/>
      <c r="W63" s="769"/>
      <c r="X63" s="769"/>
      <c r="Y63" s="769"/>
      <c r="Z63" s="769"/>
      <c r="AA63" s="769"/>
      <c r="AB63" s="769"/>
      <c r="AC63" s="769"/>
      <c r="AD63" s="769"/>
      <c r="AE63" s="769"/>
      <c r="AF63" s="769"/>
    </row>
    <row r="64" spans="1:32" ht="13.5" thickBot="1">
      <c r="A64" s="837"/>
      <c r="B64" s="787"/>
      <c r="C64" s="788"/>
      <c r="D64" s="754"/>
      <c r="E64" s="838"/>
      <c r="F64" s="808"/>
      <c r="G64" s="744"/>
      <c r="H64" s="744"/>
      <c r="I64" s="744"/>
      <c r="J64" s="744"/>
      <c r="K64" s="744"/>
      <c r="L64" s="744"/>
      <c r="M64" s="744"/>
      <c r="N64" s="744"/>
      <c r="O64" s="744"/>
      <c r="P64" s="744"/>
      <c r="Q64" s="744"/>
      <c r="R64" s="744">
        <v>10</v>
      </c>
      <c r="S64" s="744"/>
      <c r="T64" s="744"/>
      <c r="U64" s="744"/>
      <c r="V64" s="744"/>
      <c r="W64" s="744"/>
      <c r="X64" s="744"/>
      <c r="Y64" s="744"/>
      <c r="Z64" s="744"/>
      <c r="AA64" s="744"/>
      <c r="AB64" s="744"/>
      <c r="AC64" s="744"/>
      <c r="AD64" s="744"/>
      <c r="AE64" s="744"/>
      <c r="AF64" s="744"/>
    </row>
    <row r="65" spans="1:32" ht="13.5" thickBot="1">
      <c r="A65" s="839"/>
      <c r="B65" s="746"/>
      <c r="C65" s="747"/>
      <c r="D65" s="794"/>
      <c r="E65" s="808"/>
      <c r="F65" s="808"/>
      <c r="G65" s="744"/>
      <c r="H65" s="744"/>
      <c r="I65" s="744"/>
      <c r="J65" s="744"/>
      <c r="K65" s="744"/>
      <c r="L65" s="744"/>
      <c r="M65" s="744"/>
      <c r="N65" s="744"/>
      <c r="O65" s="744"/>
      <c r="P65" s="744"/>
      <c r="Q65" s="744"/>
      <c r="R65" s="744"/>
      <c r="S65" s="744"/>
      <c r="T65" s="744"/>
      <c r="U65" s="744"/>
      <c r="V65" s="744"/>
      <c r="W65" s="744"/>
      <c r="X65" s="744"/>
      <c r="Y65" s="744"/>
      <c r="Z65" s="744"/>
      <c r="AA65" s="744"/>
      <c r="AB65" s="744"/>
      <c r="AC65" s="744"/>
      <c r="AD65" s="744"/>
      <c r="AE65" s="744"/>
      <c r="AF65" s="744"/>
    </row>
    <row r="66" spans="1:32" ht="12.75">
      <c r="A66" s="738"/>
      <c r="B66" s="739"/>
      <c r="C66" s="740"/>
      <c r="D66" s="741"/>
      <c r="E66" s="840"/>
      <c r="F66" s="808"/>
      <c r="G66" s="744"/>
      <c r="H66" s="744"/>
      <c r="I66" s="744"/>
      <c r="J66" s="744"/>
      <c r="K66" s="744"/>
      <c r="L66" s="744"/>
      <c r="M66" s="744"/>
      <c r="N66" s="744"/>
      <c r="O66" s="744"/>
      <c r="P66" s="744"/>
      <c r="Q66" s="744"/>
      <c r="R66" s="744"/>
      <c r="S66" s="744"/>
      <c r="T66" s="744"/>
      <c r="U66" s="744"/>
      <c r="V66" s="744"/>
      <c r="W66" s="744"/>
      <c r="X66" s="744"/>
      <c r="Y66" s="744"/>
      <c r="Z66" s="744"/>
      <c r="AA66" s="744"/>
      <c r="AB66" s="744"/>
      <c r="AC66" s="744"/>
      <c r="AD66" s="744"/>
      <c r="AE66" s="744"/>
      <c r="AF66" s="744"/>
    </row>
    <row r="67" spans="1:32" ht="12.75">
      <c r="A67" s="795" t="s">
        <v>87</v>
      </c>
      <c r="B67" s="746"/>
      <c r="C67" s="747"/>
      <c r="D67" s="794"/>
      <c r="E67" s="841"/>
      <c r="F67" s="808"/>
      <c r="G67" s="744"/>
      <c r="H67" s="744"/>
      <c r="I67" s="744"/>
      <c r="J67" s="744"/>
      <c r="K67" s="744"/>
      <c r="L67" s="744"/>
      <c r="M67" s="744"/>
      <c r="N67" s="744"/>
      <c r="O67" s="744"/>
      <c r="P67" s="744"/>
      <c r="Q67" s="744"/>
      <c r="R67" s="744"/>
      <c r="S67" s="744"/>
      <c r="T67" s="744"/>
      <c r="U67" s="744"/>
      <c r="V67" s="744"/>
      <c r="W67" s="744"/>
      <c r="X67" s="744"/>
      <c r="Y67" s="744"/>
      <c r="Z67" s="744"/>
      <c r="AA67" s="744"/>
      <c r="AB67" s="744"/>
      <c r="AC67" s="744"/>
      <c r="AD67" s="744"/>
      <c r="AE67" s="744"/>
      <c r="AF67" s="744"/>
    </row>
    <row r="68" spans="1:32" ht="13.5" thickBot="1">
      <c r="A68" s="745"/>
      <c r="B68" s="746"/>
      <c r="C68" s="747"/>
      <c r="D68" s="794"/>
      <c r="E68" s="841"/>
      <c r="F68" s="808"/>
      <c r="G68" s="744"/>
      <c r="H68" s="744"/>
      <c r="I68" s="744"/>
      <c r="J68" s="744"/>
      <c r="K68" s="744"/>
      <c r="L68" s="744"/>
      <c r="M68" s="744"/>
      <c r="N68" s="744"/>
      <c r="O68" s="744"/>
      <c r="P68" s="744"/>
      <c r="Q68" s="744"/>
      <c r="R68" s="744"/>
      <c r="S68" s="744"/>
      <c r="T68" s="744"/>
      <c r="U68" s="744"/>
      <c r="V68" s="744"/>
      <c r="W68" s="744"/>
      <c r="X68" s="744"/>
      <c r="Y68" s="744"/>
      <c r="Z68" s="744"/>
      <c r="AA68" s="744"/>
      <c r="AB68" s="744"/>
      <c r="AC68" s="744"/>
      <c r="AD68" s="744"/>
      <c r="AE68" s="744"/>
      <c r="AF68" s="744"/>
    </row>
    <row r="69" spans="1:32" ht="13.5" thickBot="1">
      <c r="A69" s="753" t="s">
        <v>76</v>
      </c>
      <c r="B69" s="746"/>
      <c r="C69" s="747"/>
      <c r="D69" s="842">
        <f>D14+D23</f>
        <v>116.936</v>
      </c>
      <c r="E69" s="749" t="s">
        <v>29</v>
      </c>
      <c r="F69" s="743"/>
      <c r="G69" s="744"/>
      <c r="H69" s="744"/>
      <c r="I69" s="744"/>
      <c r="J69" s="744"/>
      <c r="K69" s="743"/>
      <c r="L69" s="743"/>
      <c r="M69" s="743"/>
      <c r="N69" s="743"/>
      <c r="O69" s="743"/>
      <c r="P69" s="743"/>
      <c r="Q69" s="743"/>
      <c r="R69" s="743"/>
      <c r="S69" s="743"/>
      <c r="T69" s="743"/>
      <c r="U69" s="743"/>
      <c r="V69" s="743"/>
      <c r="W69" s="743"/>
      <c r="X69" s="743"/>
      <c r="Y69" s="743"/>
      <c r="Z69" s="743"/>
      <c r="AA69" s="743"/>
      <c r="AB69" s="743"/>
      <c r="AC69" s="743"/>
      <c r="AD69" s="743"/>
      <c r="AE69" s="743"/>
      <c r="AF69" s="743"/>
    </row>
    <row r="70" spans="1:32" ht="13.5" thickBot="1">
      <c r="A70" s="753" t="s">
        <v>45</v>
      </c>
      <c r="B70" s="766"/>
      <c r="C70" s="767"/>
      <c r="D70" s="843">
        <f>D18/(D24+D18)</f>
        <v>0.21379215981391528</v>
      </c>
      <c r="E70" s="752"/>
      <c r="F70" s="743"/>
      <c r="G70" s="744"/>
      <c r="H70" s="744"/>
      <c r="I70" s="744"/>
      <c r="J70" s="744"/>
      <c r="K70" s="743"/>
      <c r="L70" s="743"/>
      <c r="M70" s="743"/>
      <c r="N70" s="743"/>
      <c r="O70" s="743"/>
      <c r="P70" s="743"/>
      <c r="Q70" s="743"/>
      <c r="R70" s="743"/>
      <c r="S70" s="743"/>
      <c r="T70" s="743"/>
      <c r="U70" s="743"/>
      <c r="V70" s="743"/>
      <c r="W70" s="743"/>
      <c r="X70" s="743"/>
      <c r="Y70" s="743"/>
      <c r="Z70" s="743"/>
      <c r="AA70" s="743"/>
      <c r="AB70" s="743"/>
      <c r="AC70" s="743"/>
      <c r="AD70" s="743"/>
      <c r="AE70" s="743"/>
      <c r="AF70" s="743"/>
    </row>
    <row r="71" spans="1:32" ht="13.5" thickBot="1">
      <c r="A71" s="753" t="s">
        <v>78</v>
      </c>
      <c r="B71" s="766"/>
      <c r="C71" s="767"/>
      <c r="D71" s="844">
        <f>-D145</f>
        <v>1.6233158833366026</v>
      </c>
      <c r="E71" s="749"/>
      <c r="F71" s="769" t="s">
        <v>142</v>
      </c>
      <c r="G71" s="755"/>
      <c r="H71" s="755"/>
      <c r="I71" s="755"/>
      <c r="J71" s="755"/>
      <c r="K71" s="769"/>
      <c r="L71" s="769"/>
      <c r="M71" s="769"/>
      <c r="N71" s="769"/>
      <c r="O71" s="769"/>
      <c r="P71" s="769"/>
      <c r="Q71" s="769"/>
      <c r="R71" s="769"/>
      <c r="S71" s="769"/>
      <c r="T71" s="769"/>
      <c r="U71" s="769"/>
      <c r="V71" s="769"/>
      <c r="W71" s="769"/>
      <c r="X71" s="769"/>
      <c r="Y71" s="769"/>
      <c r="Z71" s="769"/>
      <c r="AA71" s="769"/>
      <c r="AB71" s="769"/>
      <c r="AC71" s="769"/>
      <c r="AD71" s="769"/>
      <c r="AE71" s="769"/>
      <c r="AF71" s="769"/>
    </row>
    <row r="72" spans="1:32" ht="13.5" thickBot="1">
      <c r="A72" s="753"/>
      <c r="B72" s="766"/>
      <c r="C72" s="767"/>
      <c r="D72" s="845"/>
      <c r="E72" s="749"/>
      <c r="F72" s="769"/>
      <c r="G72" s="755"/>
      <c r="H72" s="755"/>
      <c r="I72" s="755"/>
      <c r="J72" s="755"/>
      <c r="K72" s="769"/>
      <c r="L72" s="769"/>
      <c r="M72" s="769"/>
      <c r="N72" s="769"/>
      <c r="O72" s="769"/>
      <c r="P72" s="769"/>
      <c r="Q72" s="769"/>
      <c r="R72" s="769"/>
      <c r="S72" s="769"/>
      <c r="T72" s="769"/>
      <c r="U72" s="769"/>
      <c r="V72" s="769"/>
      <c r="W72" s="769"/>
      <c r="X72" s="769"/>
      <c r="Y72" s="769"/>
      <c r="Z72" s="769"/>
      <c r="AA72" s="769"/>
      <c r="AB72" s="769"/>
      <c r="AC72" s="769"/>
      <c r="AD72" s="769"/>
      <c r="AE72" s="769"/>
      <c r="AF72" s="769"/>
    </row>
    <row r="73" spans="1:32" ht="13.5" thickBot="1">
      <c r="A73" s="753" t="s">
        <v>67</v>
      </c>
      <c r="B73" s="766"/>
      <c r="C73" s="767"/>
      <c r="D73" s="846">
        <f>D143</f>
        <v>0.1983854867980519</v>
      </c>
      <c r="E73" s="847"/>
      <c r="F73" s="802" t="s">
        <v>141</v>
      </c>
      <c r="G73" s="755"/>
      <c r="H73" s="755"/>
      <c r="I73" s="755"/>
      <c r="J73" s="755"/>
      <c r="K73" s="755"/>
      <c r="L73" s="755"/>
      <c r="M73" s="755"/>
      <c r="N73" s="755"/>
      <c r="O73" s="755"/>
      <c r="P73" s="755"/>
      <c r="Q73" s="755"/>
      <c r="R73" s="755"/>
      <c r="S73" s="755"/>
      <c r="T73" s="755"/>
      <c r="U73" s="755"/>
      <c r="V73" s="755"/>
      <c r="W73" s="755"/>
      <c r="X73" s="755"/>
      <c r="Y73" s="755"/>
      <c r="Z73" s="755"/>
      <c r="AA73" s="755"/>
      <c r="AB73" s="755"/>
      <c r="AC73" s="755"/>
      <c r="AD73" s="755"/>
      <c r="AE73" s="755"/>
      <c r="AF73" s="755"/>
    </row>
    <row r="74" spans="1:32" ht="13.5" thickBot="1">
      <c r="A74" s="753" t="s">
        <v>77</v>
      </c>
      <c r="B74" s="766"/>
      <c r="C74" s="767"/>
      <c r="D74" s="836">
        <f>D146</f>
        <v>12</v>
      </c>
      <c r="E74" s="848" t="s">
        <v>41</v>
      </c>
      <c r="F74" s="802" t="s">
        <v>140</v>
      </c>
      <c r="G74" s="755"/>
      <c r="H74" s="755"/>
      <c r="I74" s="755"/>
      <c r="J74" s="755"/>
      <c r="K74" s="755"/>
      <c r="L74" s="755"/>
      <c r="M74" s="755"/>
      <c r="N74" s="755"/>
      <c r="O74" s="755"/>
      <c r="P74" s="755"/>
      <c r="Q74" s="755"/>
      <c r="R74" s="755"/>
      <c r="S74" s="755"/>
      <c r="T74" s="755"/>
      <c r="U74" s="755"/>
      <c r="V74" s="755"/>
      <c r="W74" s="755"/>
      <c r="X74" s="755"/>
      <c r="Y74" s="755"/>
      <c r="Z74" s="755"/>
      <c r="AA74" s="755"/>
      <c r="AB74" s="755"/>
      <c r="AC74" s="755"/>
      <c r="AD74" s="755"/>
      <c r="AE74" s="755"/>
      <c r="AF74" s="755"/>
    </row>
    <row r="75" spans="1:32" ht="13.5" thickBot="1">
      <c r="A75" s="753"/>
      <c r="B75" s="766"/>
      <c r="C75" s="767"/>
      <c r="D75" s="849"/>
      <c r="E75" s="848"/>
      <c r="F75" s="802"/>
      <c r="G75" s="755"/>
      <c r="H75" s="755"/>
      <c r="I75" s="755"/>
      <c r="J75" s="755"/>
      <c r="K75" s="755"/>
      <c r="L75" s="755"/>
      <c r="M75" s="755"/>
      <c r="N75" s="755"/>
      <c r="O75" s="755"/>
      <c r="P75" s="755"/>
      <c r="Q75" s="755"/>
      <c r="R75" s="755"/>
      <c r="S75" s="755"/>
      <c r="T75" s="755"/>
      <c r="U75" s="755"/>
      <c r="V75" s="755"/>
      <c r="W75" s="755"/>
      <c r="X75" s="755"/>
      <c r="Y75" s="755"/>
      <c r="Z75" s="755"/>
      <c r="AA75" s="755"/>
      <c r="AB75" s="755"/>
      <c r="AC75" s="755"/>
      <c r="AD75" s="755"/>
      <c r="AE75" s="755"/>
      <c r="AF75" s="755"/>
    </row>
    <row r="76" spans="1:32" ht="13.5" thickBot="1">
      <c r="A76" s="753" t="s">
        <v>154</v>
      </c>
      <c r="B76" s="766"/>
      <c r="C76" s="767"/>
      <c r="D76" s="850">
        <f>($D$82*1000000)/1.4109*1000/($D$48*365*$D$44)</f>
        <v>297.2325986598925</v>
      </c>
      <c r="E76" s="749" t="s">
        <v>130</v>
      </c>
      <c r="F76" s="743">
        <f>SUM(D77:D79)</f>
        <v>297.2325986598925</v>
      </c>
      <c r="G76" s="743" t="str">
        <f>IF(D76=F76,"OK","ERROR")</f>
        <v>OK</v>
      </c>
      <c r="H76" s="755"/>
      <c r="I76" s="755"/>
      <c r="J76" s="755"/>
      <c r="K76" s="769"/>
      <c r="L76" s="769"/>
      <c r="M76" s="769"/>
      <c r="N76" s="769"/>
      <c r="O76" s="769"/>
      <c r="P76" s="769"/>
      <c r="Q76" s="769"/>
      <c r="R76" s="769"/>
      <c r="S76" s="769"/>
      <c r="T76" s="769"/>
      <c r="U76" s="769"/>
      <c r="V76" s="769"/>
      <c r="W76" s="769"/>
      <c r="X76" s="769"/>
      <c r="Y76" s="769"/>
      <c r="Z76" s="769"/>
      <c r="AA76" s="769"/>
      <c r="AB76" s="769"/>
      <c r="AC76" s="769"/>
      <c r="AD76" s="769"/>
      <c r="AE76" s="769"/>
      <c r="AF76" s="769"/>
    </row>
    <row r="77" spans="1:32" ht="13.5" thickBot="1">
      <c r="A77" s="851" t="s">
        <v>102</v>
      </c>
      <c r="B77" s="766"/>
      <c r="C77" s="767"/>
      <c r="D77" s="852">
        <f>($D$84*1000000)/1.4109*1000/($D$48*365*$D$44)</f>
        <v>63.294857764141426</v>
      </c>
      <c r="E77" s="749" t="s">
        <v>130</v>
      </c>
      <c r="F77" s="769"/>
      <c r="G77" s="755"/>
      <c r="H77" s="755"/>
      <c r="I77" s="755"/>
      <c r="J77" s="755"/>
      <c r="K77" s="769"/>
      <c r="L77" s="769"/>
      <c r="M77" s="769"/>
      <c r="N77" s="769"/>
      <c r="O77" s="769"/>
      <c r="P77" s="769"/>
      <c r="Q77" s="769"/>
      <c r="R77" s="769"/>
      <c r="S77" s="769"/>
      <c r="T77" s="769"/>
      <c r="U77" s="769"/>
      <c r="V77" s="769"/>
      <c r="W77" s="769"/>
      <c r="X77" s="769"/>
      <c r="Y77" s="769"/>
      <c r="Z77" s="769"/>
      <c r="AA77" s="769"/>
      <c r="AB77" s="769"/>
      <c r="AC77" s="769"/>
      <c r="AD77" s="769"/>
      <c r="AE77" s="769"/>
      <c r="AF77" s="769"/>
    </row>
    <row r="78" spans="1:32" ht="13.5" thickBot="1">
      <c r="A78" s="851" t="s">
        <v>103</v>
      </c>
      <c r="B78" s="766"/>
      <c r="C78" s="767"/>
      <c r="D78" s="852">
        <f>($D$83*1000000)/1.4109*1000/($D$48*365*$D$44)</f>
        <v>146.60326363608513</v>
      </c>
      <c r="E78" s="749" t="s">
        <v>130</v>
      </c>
      <c r="F78" s="769"/>
      <c r="G78" s="755"/>
      <c r="H78" s="755"/>
      <c r="I78" s="755"/>
      <c r="J78" s="755"/>
      <c r="K78" s="769"/>
      <c r="L78" s="769"/>
      <c r="M78" s="769"/>
      <c r="N78" s="769"/>
      <c r="O78" s="769"/>
      <c r="P78" s="769"/>
      <c r="Q78" s="769"/>
      <c r="R78" s="769"/>
      <c r="S78" s="769"/>
      <c r="T78" s="769"/>
      <c r="U78" s="769"/>
      <c r="V78" s="769"/>
      <c r="W78" s="769"/>
      <c r="X78" s="769"/>
      <c r="Y78" s="769"/>
      <c r="Z78" s="769"/>
      <c r="AA78" s="769"/>
      <c r="AB78" s="769"/>
      <c r="AC78" s="769"/>
      <c r="AD78" s="769"/>
      <c r="AE78" s="769"/>
      <c r="AF78" s="769"/>
    </row>
    <row r="79" spans="1:32" ht="13.5" thickBot="1">
      <c r="A79" s="851" t="s">
        <v>104</v>
      </c>
      <c r="B79" s="839"/>
      <c r="C79" s="853"/>
      <c r="D79" s="852">
        <f>($D$85*1000000)/1.4109*1000/($D$48*365*$D$44)</f>
        <v>87.33447725966596</v>
      </c>
      <c r="E79" s="749" t="s">
        <v>130</v>
      </c>
      <c r="F79" s="854"/>
      <c r="G79" s="853"/>
      <c r="H79" s="853"/>
      <c r="I79" s="853"/>
      <c r="J79" s="853"/>
      <c r="K79" s="854"/>
      <c r="L79" s="854"/>
      <c r="M79" s="854"/>
      <c r="N79" s="854"/>
      <c r="O79" s="854"/>
      <c r="P79" s="854"/>
      <c r="Q79" s="854"/>
      <c r="R79" s="854"/>
      <c r="S79" s="854"/>
      <c r="T79" s="854"/>
      <c r="U79" s="854"/>
      <c r="V79" s="854"/>
      <c r="W79" s="854"/>
      <c r="X79" s="854"/>
      <c r="Y79" s="854"/>
      <c r="Z79" s="854"/>
      <c r="AA79" s="854"/>
      <c r="AB79" s="854"/>
      <c r="AC79" s="854"/>
      <c r="AD79" s="854"/>
      <c r="AE79" s="854"/>
      <c r="AF79" s="854"/>
    </row>
    <row r="80" spans="1:32" ht="12.75">
      <c r="A80" s="753"/>
      <c r="B80" s="766"/>
      <c r="C80" s="767"/>
      <c r="D80" s="855"/>
      <c r="E80" s="848"/>
      <c r="F80" s="802"/>
      <c r="G80" s="755"/>
      <c r="H80" s="755"/>
      <c r="I80" s="755"/>
      <c r="J80" s="755"/>
      <c r="K80" s="755"/>
      <c r="L80" s="755"/>
      <c r="M80" s="755"/>
      <c r="N80" s="755"/>
      <c r="O80" s="755"/>
      <c r="P80" s="755"/>
      <c r="Q80" s="755"/>
      <c r="R80" s="755"/>
      <c r="S80" s="755"/>
      <c r="T80" s="755"/>
      <c r="U80" s="755"/>
      <c r="V80" s="755"/>
      <c r="W80" s="755"/>
      <c r="X80" s="755"/>
      <c r="Y80" s="755"/>
      <c r="Z80" s="755"/>
      <c r="AA80" s="755"/>
      <c r="AB80" s="755"/>
      <c r="AC80" s="755"/>
      <c r="AD80" s="755"/>
      <c r="AE80" s="755"/>
      <c r="AF80" s="755"/>
    </row>
    <row r="81" spans="1:32" ht="13.5" thickBot="1">
      <c r="A81" s="753" t="s">
        <v>101</v>
      </c>
      <c r="B81" s="766"/>
      <c r="C81" s="767"/>
      <c r="D81" s="856"/>
      <c r="E81" s="848"/>
      <c r="F81" s="802"/>
      <c r="G81" s="755"/>
      <c r="H81" s="755"/>
      <c r="I81" s="755"/>
      <c r="J81" s="755"/>
      <c r="K81" s="755"/>
      <c r="L81" s="755"/>
      <c r="M81" s="755"/>
      <c r="N81" s="755"/>
      <c r="O81" s="755"/>
      <c r="P81" s="755"/>
      <c r="Q81" s="755"/>
      <c r="R81" s="755"/>
      <c r="S81" s="755"/>
      <c r="T81" s="755"/>
      <c r="U81" s="755"/>
      <c r="V81" s="755"/>
      <c r="W81" s="755"/>
      <c r="X81" s="755"/>
      <c r="Y81" s="755"/>
      <c r="Z81" s="755"/>
      <c r="AA81" s="755"/>
      <c r="AB81" s="755"/>
      <c r="AC81" s="755"/>
      <c r="AD81" s="755"/>
      <c r="AE81" s="755"/>
      <c r="AF81" s="755"/>
    </row>
    <row r="82" spans="1:32" ht="13.5" thickBot="1">
      <c r="A82" s="851" t="s">
        <v>138</v>
      </c>
      <c r="B82" s="857"/>
      <c r="C82" s="767"/>
      <c r="D82" s="836">
        <f>SUM(K117:AF117)</f>
        <v>673.5009503594832</v>
      </c>
      <c r="E82" s="848" t="s">
        <v>29</v>
      </c>
      <c r="F82" s="743">
        <f>SUM(D83:D85)</f>
        <v>673.5009503594833</v>
      </c>
      <c r="G82" s="743" t="str">
        <f>IF(D82=F82,"OK","ERROR")</f>
        <v>OK</v>
      </c>
      <c r="H82" s="755"/>
      <c r="I82" s="755"/>
      <c r="J82" s="755"/>
      <c r="K82" s="755"/>
      <c r="L82" s="755"/>
      <c r="M82" s="755"/>
      <c r="N82" s="755"/>
      <c r="O82" s="755"/>
      <c r="P82" s="755"/>
      <c r="Q82" s="755"/>
      <c r="R82" s="755"/>
      <c r="S82" s="755"/>
      <c r="T82" s="755"/>
      <c r="U82" s="755"/>
      <c r="V82" s="755"/>
      <c r="W82" s="755"/>
      <c r="X82" s="755"/>
      <c r="Y82" s="755"/>
      <c r="Z82" s="755"/>
      <c r="AA82" s="755"/>
      <c r="AB82" s="755"/>
      <c r="AC82" s="755"/>
      <c r="AD82" s="755"/>
      <c r="AE82" s="755"/>
      <c r="AF82" s="755"/>
    </row>
    <row r="83" spans="1:32" ht="13.5" thickBot="1">
      <c r="A83" s="851" t="s">
        <v>73</v>
      </c>
      <c r="B83" s="857"/>
      <c r="C83" s="767"/>
      <c r="D83" s="836">
        <f>SUM(K141:AF141)</f>
        <v>332.18912673062897</v>
      </c>
      <c r="E83" s="848" t="s">
        <v>29</v>
      </c>
      <c r="F83" s="802"/>
      <c r="G83" s="755"/>
      <c r="H83" s="858"/>
      <c r="I83" s="755"/>
      <c r="J83" s="859"/>
      <c r="K83" s="755"/>
      <c r="L83" s="755"/>
      <c r="M83" s="755"/>
      <c r="N83" s="755"/>
      <c r="O83" s="755"/>
      <c r="P83" s="755"/>
      <c r="Q83" s="755"/>
      <c r="R83" s="755"/>
      <c r="S83" s="755"/>
      <c r="T83" s="755"/>
      <c r="U83" s="755"/>
      <c r="V83" s="755"/>
      <c r="W83" s="755"/>
      <c r="X83" s="755"/>
      <c r="Y83" s="755"/>
      <c r="Z83" s="755"/>
      <c r="AA83" s="755"/>
      <c r="AB83" s="755"/>
      <c r="AC83" s="755"/>
      <c r="AD83" s="755"/>
      <c r="AE83" s="755"/>
      <c r="AF83" s="755"/>
    </row>
    <row r="84" spans="1:32" ht="13.5" thickBot="1">
      <c r="A84" s="851" t="s">
        <v>74</v>
      </c>
      <c r="B84" s="857"/>
      <c r="C84" s="767"/>
      <c r="D84" s="836">
        <f>-SUM(K122:AF122)-SUM(K121:AF121)</f>
        <v>143.42016</v>
      </c>
      <c r="E84" s="848" t="s">
        <v>29</v>
      </c>
      <c r="F84" s="802"/>
      <c r="G84" s="755"/>
      <c r="H84" s="860"/>
      <c r="I84" s="755"/>
      <c r="J84" s="755"/>
      <c r="K84" s="755"/>
      <c r="L84" s="755"/>
      <c r="M84" s="755"/>
      <c r="N84" s="755"/>
      <c r="O84" s="755"/>
      <c r="P84" s="755"/>
      <c r="Q84" s="755"/>
      <c r="R84" s="755"/>
      <c r="S84" s="755"/>
      <c r="T84" s="755"/>
      <c r="U84" s="755"/>
      <c r="V84" s="755"/>
      <c r="W84" s="755"/>
      <c r="X84" s="755"/>
      <c r="Y84" s="755"/>
      <c r="Z84" s="755"/>
      <c r="AA84" s="755"/>
      <c r="AB84" s="755"/>
      <c r="AC84" s="755"/>
      <c r="AD84" s="755"/>
      <c r="AE84" s="755"/>
      <c r="AF84" s="755"/>
    </row>
    <row r="85" spans="1:32" ht="13.5" thickBot="1">
      <c r="A85" s="851" t="s">
        <v>95</v>
      </c>
      <c r="B85" s="857"/>
      <c r="C85" s="767"/>
      <c r="D85" s="836">
        <f>-SUM(K123:AF123)-SUM(K124:AF124)-SUM(K125:AF125)-SUM(K130:AF130)</f>
        <v>197.8916636288543</v>
      </c>
      <c r="E85" s="848" t="s">
        <v>29</v>
      </c>
      <c r="F85" s="802"/>
      <c r="G85" s="755"/>
      <c r="H85" s="825"/>
      <c r="I85" s="755"/>
      <c r="J85" s="755"/>
      <c r="K85" s="755"/>
      <c r="L85" s="755"/>
      <c r="M85" s="755"/>
      <c r="N85" s="755"/>
      <c r="O85" s="755"/>
      <c r="P85" s="755"/>
      <c r="Q85" s="755"/>
      <c r="R85" s="755"/>
      <c r="S85" s="755"/>
      <c r="T85" s="755"/>
      <c r="U85" s="755"/>
      <c r="V85" s="755"/>
      <c r="W85" s="755"/>
      <c r="X85" s="755"/>
      <c r="Y85" s="755"/>
      <c r="Z85" s="755"/>
      <c r="AA85" s="755"/>
      <c r="AB85" s="755"/>
      <c r="AC85" s="755"/>
      <c r="AD85" s="755"/>
      <c r="AE85" s="755"/>
      <c r="AF85" s="755"/>
    </row>
    <row r="86" spans="1:32" ht="13.5" thickBot="1">
      <c r="A86" s="753"/>
      <c r="B86" s="766"/>
      <c r="C86" s="767"/>
      <c r="D86" s="861"/>
      <c r="E86" s="848"/>
      <c r="F86" s="802"/>
      <c r="G86" s="755"/>
      <c r="H86" s="755"/>
      <c r="I86" s="755"/>
      <c r="J86" s="755"/>
      <c r="K86" s="755"/>
      <c r="L86" s="755"/>
      <c r="M86" s="755"/>
      <c r="N86" s="755"/>
      <c r="O86" s="755"/>
      <c r="P86" s="755"/>
      <c r="Q86" s="755"/>
      <c r="R86" s="755"/>
      <c r="S86" s="755"/>
      <c r="T86" s="755"/>
      <c r="U86" s="755"/>
      <c r="V86" s="755"/>
      <c r="W86" s="755"/>
      <c r="X86" s="755"/>
      <c r="Y86" s="755"/>
      <c r="Z86" s="755"/>
      <c r="AA86" s="755"/>
      <c r="AB86" s="755"/>
      <c r="AC86" s="755"/>
      <c r="AD86" s="755"/>
      <c r="AE86" s="755"/>
      <c r="AF86" s="755"/>
    </row>
    <row r="87" spans="1:32" ht="13.5" thickBot="1">
      <c r="A87" s="753" t="s">
        <v>88</v>
      </c>
      <c r="B87" s="766"/>
      <c r="C87" s="767"/>
      <c r="D87" s="778">
        <v>0.1</v>
      </c>
      <c r="E87" s="749"/>
      <c r="F87" s="769"/>
      <c r="G87" s="755"/>
      <c r="H87" s="862" t="s">
        <v>109</v>
      </c>
      <c r="I87" s="755"/>
      <c r="J87" s="755"/>
      <c r="K87" s="769"/>
      <c r="L87" s="769"/>
      <c r="M87" s="769"/>
      <c r="N87" s="769"/>
      <c r="O87" s="769"/>
      <c r="P87" s="769"/>
      <c r="Q87" s="769"/>
      <c r="R87" s="769"/>
      <c r="S87" s="769"/>
      <c r="T87" s="769"/>
      <c r="U87" s="769"/>
      <c r="V87" s="769"/>
      <c r="W87" s="769"/>
      <c r="X87" s="769"/>
      <c r="Y87" s="769"/>
      <c r="Z87" s="769"/>
      <c r="AA87" s="769"/>
      <c r="AB87" s="769"/>
      <c r="AC87" s="769"/>
      <c r="AD87" s="769"/>
      <c r="AE87" s="769"/>
      <c r="AF87" s="769"/>
    </row>
    <row r="88" spans="1:32" ht="13.5" thickBot="1">
      <c r="A88" s="851" t="s">
        <v>89</v>
      </c>
      <c r="B88" s="746"/>
      <c r="C88" s="747"/>
      <c r="D88" s="863">
        <f>NPV($D$87,K117:AF117)</f>
        <v>232.3355548648791</v>
      </c>
      <c r="E88" s="752" t="s">
        <v>29</v>
      </c>
      <c r="F88" s="743">
        <f>SUM(D89:D91)</f>
        <v>232.33555486487916</v>
      </c>
      <c r="G88" s="743" t="str">
        <f>IF(D88=F88,"OK","ERROR")</f>
        <v>OK</v>
      </c>
      <c r="H88" s="744"/>
      <c r="I88" s="744"/>
      <c r="J88" s="744"/>
      <c r="K88" s="743"/>
      <c r="L88" s="743"/>
      <c r="M88" s="743"/>
      <c r="N88" s="743"/>
      <c r="O88" s="743"/>
      <c r="P88" s="743"/>
      <c r="Q88" s="743"/>
      <c r="R88" s="743"/>
      <c r="S88" s="743"/>
      <c r="T88" s="743"/>
      <c r="U88" s="743"/>
      <c r="V88" s="743"/>
      <c r="W88" s="743"/>
      <c r="X88" s="743"/>
      <c r="Y88" s="743"/>
      <c r="Z88" s="743"/>
      <c r="AA88" s="743"/>
      <c r="AB88" s="743"/>
      <c r="AC88" s="743"/>
      <c r="AD88" s="743"/>
      <c r="AE88" s="743"/>
      <c r="AF88" s="743"/>
    </row>
    <row r="89" spans="1:32" ht="13.5" thickBot="1">
      <c r="A89" s="851" t="s">
        <v>90</v>
      </c>
      <c r="B89" s="746"/>
      <c r="C89" s="747"/>
      <c r="D89" s="863">
        <f>NPV($D$87,K141:AF141)</f>
        <v>80.4736882749962</v>
      </c>
      <c r="E89" s="752" t="s">
        <v>29</v>
      </c>
      <c r="F89" s="864"/>
      <c r="G89" s="744"/>
      <c r="H89" s="744"/>
      <c r="I89" s="744"/>
      <c r="J89" s="744"/>
      <c r="K89" s="743"/>
      <c r="L89" s="743"/>
      <c r="M89" s="743"/>
      <c r="N89" s="743"/>
      <c r="O89" s="743"/>
      <c r="P89" s="743"/>
      <c r="Q89" s="743"/>
      <c r="R89" s="743"/>
      <c r="S89" s="743"/>
      <c r="T89" s="743"/>
      <c r="U89" s="743"/>
      <c r="V89" s="743"/>
      <c r="W89" s="743"/>
      <c r="X89" s="743"/>
      <c r="Y89" s="743"/>
      <c r="Z89" s="743"/>
      <c r="AA89" s="743"/>
      <c r="AB89" s="743"/>
      <c r="AC89" s="743"/>
      <c r="AD89" s="743"/>
      <c r="AE89" s="743"/>
      <c r="AF89" s="743"/>
    </row>
    <row r="90" spans="1:32" ht="13.5" thickBot="1">
      <c r="A90" s="851" t="s">
        <v>91</v>
      </c>
      <c r="B90" s="746"/>
      <c r="C90" s="747"/>
      <c r="D90" s="863">
        <f>-NPV($D$87,K122:AF122)-NPV($D$87,K121:AF121)</f>
        <v>83.59578701300427</v>
      </c>
      <c r="E90" s="752" t="s">
        <v>29</v>
      </c>
      <c r="F90" s="743"/>
      <c r="G90" s="744"/>
      <c r="H90" s="744"/>
      <c r="I90" s="744"/>
      <c r="J90" s="744"/>
      <c r="K90" s="743"/>
      <c r="L90" s="743"/>
      <c r="M90" s="743"/>
      <c r="N90" s="743"/>
      <c r="O90" s="743"/>
      <c r="P90" s="743"/>
      <c r="Q90" s="743"/>
      <c r="R90" s="743"/>
      <c r="S90" s="743"/>
      <c r="T90" s="743"/>
      <c r="U90" s="743"/>
      <c r="V90" s="743"/>
      <c r="W90" s="743"/>
      <c r="X90" s="743"/>
      <c r="Y90" s="743"/>
      <c r="Z90" s="743"/>
      <c r="AA90" s="743"/>
      <c r="AB90" s="743"/>
      <c r="AC90" s="743"/>
      <c r="AD90" s="743"/>
      <c r="AE90" s="743"/>
      <c r="AF90" s="743"/>
    </row>
    <row r="91" spans="1:32" ht="13.5" thickBot="1">
      <c r="A91" s="851" t="s">
        <v>96</v>
      </c>
      <c r="B91" s="746"/>
      <c r="C91" s="747"/>
      <c r="D91" s="863">
        <f>-NPV($D$87,K123:AF123)-NPV($D$87,K124:AF124)-NPV($D$87,K125:AF125)-NPV($D$87,K130:AF130)</f>
        <v>68.26607957687867</v>
      </c>
      <c r="E91" s="752" t="s">
        <v>29</v>
      </c>
      <c r="F91" s="743"/>
      <c r="G91" s="744"/>
      <c r="H91" s="744"/>
      <c r="I91" s="744"/>
      <c r="J91" s="744"/>
      <c r="K91" s="743"/>
      <c r="L91" s="743"/>
      <c r="M91" s="743"/>
      <c r="N91" s="743"/>
      <c r="O91" s="743"/>
      <c r="P91" s="743"/>
      <c r="Q91" s="743"/>
      <c r="R91" s="743"/>
      <c r="S91" s="743"/>
      <c r="T91" s="743"/>
      <c r="U91" s="743"/>
      <c r="V91" s="743"/>
      <c r="W91" s="743"/>
      <c r="X91" s="743"/>
      <c r="Y91" s="743"/>
      <c r="Z91" s="743"/>
      <c r="AA91" s="743"/>
      <c r="AB91" s="743"/>
      <c r="AC91" s="743"/>
      <c r="AD91" s="743"/>
      <c r="AE91" s="743"/>
      <c r="AF91" s="743"/>
    </row>
    <row r="92" spans="1:32" ht="13.5" thickBot="1">
      <c r="A92" s="865"/>
      <c r="B92" s="787"/>
      <c r="C92" s="788"/>
      <c r="D92" s="866"/>
      <c r="E92" s="790"/>
      <c r="F92" s="743"/>
      <c r="G92" s="744"/>
      <c r="H92" s="744"/>
      <c r="I92" s="744"/>
      <c r="J92" s="744"/>
      <c r="K92" s="743"/>
      <c r="L92" s="743"/>
      <c r="M92" s="743"/>
      <c r="N92" s="743"/>
      <c r="O92" s="743"/>
      <c r="P92" s="743"/>
      <c r="Q92" s="743"/>
      <c r="R92" s="743"/>
      <c r="S92" s="743"/>
      <c r="T92" s="743"/>
      <c r="U92" s="743"/>
      <c r="V92" s="743"/>
      <c r="W92" s="743"/>
      <c r="X92" s="743"/>
      <c r="Y92" s="743"/>
      <c r="Z92" s="743"/>
      <c r="AA92" s="743"/>
      <c r="AB92" s="743"/>
      <c r="AC92" s="743"/>
      <c r="AD92" s="743"/>
      <c r="AE92" s="743"/>
      <c r="AF92" s="743"/>
    </row>
    <row r="93" spans="1:32" ht="13.5" thickBot="1">
      <c r="A93" s="867"/>
      <c r="B93" s="868"/>
      <c r="C93" s="769"/>
      <c r="D93" s="769"/>
      <c r="E93" s="769"/>
      <c r="F93" s="769"/>
      <c r="G93" s="755"/>
      <c r="H93" s="755"/>
      <c r="I93" s="755"/>
      <c r="J93" s="755"/>
      <c r="K93" s="769"/>
      <c r="L93" s="769"/>
      <c r="M93" s="769"/>
      <c r="N93" s="769"/>
      <c r="O93" s="769"/>
      <c r="P93" s="769"/>
      <c r="Q93" s="769"/>
      <c r="R93" s="769"/>
      <c r="S93" s="769"/>
      <c r="T93" s="769"/>
      <c r="U93" s="769"/>
      <c r="V93" s="769"/>
      <c r="W93" s="769"/>
      <c r="X93" s="769"/>
      <c r="Y93" s="769"/>
      <c r="Z93" s="769"/>
      <c r="AA93" s="769"/>
      <c r="AB93" s="769"/>
      <c r="AC93" s="769"/>
      <c r="AD93" s="769"/>
      <c r="AE93" s="769"/>
      <c r="AF93" s="769"/>
    </row>
    <row r="94" spans="1:32" ht="12.75">
      <c r="A94" s="869"/>
      <c r="B94" s="869"/>
      <c r="C94" s="870" t="s">
        <v>4</v>
      </c>
      <c r="D94" s="871" t="s">
        <v>8</v>
      </c>
      <c r="E94" s="872" t="s">
        <v>0</v>
      </c>
      <c r="F94" s="873" t="s">
        <v>0</v>
      </c>
      <c r="G94" s="874">
        <v>2010</v>
      </c>
      <c r="H94" s="875">
        <v>2011</v>
      </c>
      <c r="I94" s="875">
        <v>2012</v>
      </c>
      <c r="J94" s="876">
        <v>2013</v>
      </c>
      <c r="K94" s="877">
        <v>2014</v>
      </c>
      <c r="L94" s="878">
        <v>2015</v>
      </c>
      <c r="M94" s="878">
        <v>2016</v>
      </c>
      <c r="N94" s="878">
        <v>2017</v>
      </c>
      <c r="O94" s="878">
        <v>2018</v>
      </c>
      <c r="P94" s="878">
        <v>2019</v>
      </c>
      <c r="Q94" s="878">
        <v>2020</v>
      </c>
      <c r="R94" s="878">
        <v>2021</v>
      </c>
      <c r="S94" s="878">
        <v>2022</v>
      </c>
      <c r="T94" s="878">
        <v>2023</v>
      </c>
      <c r="U94" s="878">
        <v>2024</v>
      </c>
      <c r="V94" s="878">
        <v>2025</v>
      </c>
      <c r="W94" s="879">
        <v>2026</v>
      </c>
      <c r="X94" s="878">
        <v>2027</v>
      </c>
      <c r="Y94" s="878">
        <v>2028</v>
      </c>
      <c r="Z94" s="878">
        <v>2029</v>
      </c>
      <c r="AA94" s="878">
        <v>2030</v>
      </c>
      <c r="AB94" s="878">
        <v>2031</v>
      </c>
      <c r="AC94" s="878">
        <v>2032</v>
      </c>
      <c r="AD94" s="878">
        <v>2033</v>
      </c>
      <c r="AE94" s="878">
        <v>2034</v>
      </c>
      <c r="AF94" s="879">
        <v>2035</v>
      </c>
    </row>
    <row r="95" spans="1:32" ht="12.75">
      <c r="A95" s="880"/>
      <c r="B95" s="880"/>
      <c r="C95" s="817" t="s">
        <v>7</v>
      </c>
      <c r="D95" s="881" t="s">
        <v>0</v>
      </c>
      <c r="E95" s="767" t="s">
        <v>22</v>
      </c>
      <c r="F95" s="814" t="s">
        <v>23</v>
      </c>
      <c r="G95" s="882">
        <v>1</v>
      </c>
      <c r="H95" s="808">
        <v>2</v>
      </c>
      <c r="I95" s="808">
        <v>3</v>
      </c>
      <c r="J95" s="841">
        <v>4</v>
      </c>
      <c r="K95" s="883">
        <v>5</v>
      </c>
      <c r="L95" s="884">
        <v>6</v>
      </c>
      <c r="M95" s="884">
        <v>7</v>
      </c>
      <c r="N95" s="884">
        <v>8</v>
      </c>
      <c r="O95" s="884">
        <v>9</v>
      </c>
      <c r="P95" s="884">
        <v>10</v>
      </c>
      <c r="Q95" s="884">
        <v>11</v>
      </c>
      <c r="R95" s="884">
        <v>12</v>
      </c>
      <c r="S95" s="884">
        <v>13</v>
      </c>
      <c r="T95" s="884">
        <v>14</v>
      </c>
      <c r="U95" s="884">
        <v>15</v>
      </c>
      <c r="V95" s="884">
        <v>16</v>
      </c>
      <c r="W95" s="885">
        <v>17</v>
      </c>
      <c r="X95" s="884">
        <v>18</v>
      </c>
      <c r="Y95" s="884">
        <v>19</v>
      </c>
      <c r="Z95" s="884">
        <v>20</v>
      </c>
      <c r="AA95" s="884">
        <v>21</v>
      </c>
      <c r="AB95" s="884">
        <v>22</v>
      </c>
      <c r="AC95" s="884">
        <v>23</v>
      </c>
      <c r="AD95" s="884">
        <v>24</v>
      </c>
      <c r="AE95" s="884">
        <v>25</v>
      </c>
      <c r="AF95" s="885">
        <v>26</v>
      </c>
    </row>
    <row r="96" spans="1:32" ht="13.5" thickBot="1">
      <c r="A96" s="880"/>
      <c r="B96" s="880"/>
      <c r="C96" s="886" t="s">
        <v>4</v>
      </c>
      <c r="D96" s="887" t="s">
        <v>21</v>
      </c>
      <c r="E96" s="888" t="s">
        <v>21</v>
      </c>
      <c r="F96" s="889" t="s">
        <v>21</v>
      </c>
      <c r="G96" s="890"/>
      <c r="H96" s="891">
        <v>0</v>
      </c>
      <c r="I96" s="891">
        <v>0</v>
      </c>
      <c r="J96" s="838">
        <v>0</v>
      </c>
      <c r="K96" s="892">
        <v>1</v>
      </c>
      <c r="L96" s="816">
        <v>2</v>
      </c>
      <c r="M96" s="816">
        <v>3</v>
      </c>
      <c r="N96" s="816">
        <v>4</v>
      </c>
      <c r="O96" s="816">
        <v>5</v>
      </c>
      <c r="P96" s="816">
        <v>6</v>
      </c>
      <c r="Q96" s="816">
        <v>7</v>
      </c>
      <c r="R96" s="816">
        <v>8</v>
      </c>
      <c r="S96" s="816">
        <v>9</v>
      </c>
      <c r="T96" s="816">
        <v>10</v>
      </c>
      <c r="U96" s="816">
        <v>11</v>
      </c>
      <c r="V96" s="816">
        <v>12</v>
      </c>
      <c r="W96" s="893">
        <v>13</v>
      </c>
      <c r="X96" s="816">
        <v>14</v>
      </c>
      <c r="Y96" s="816">
        <v>15</v>
      </c>
      <c r="Z96" s="816">
        <v>16</v>
      </c>
      <c r="AA96" s="816">
        <v>17</v>
      </c>
      <c r="AB96" s="816">
        <v>18</v>
      </c>
      <c r="AC96" s="816">
        <v>19</v>
      </c>
      <c r="AD96" s="816">
        <v>20</v>
      </c>
      <c r="AE96" s="816">
        <v>21</v>
      </c>
      <c r="AF96" s="893">
        <v>22</v>
      </c>
    </row>
    <row r="97" spans="1:32" ht="13.5" thickBot="1">
      <c r="A97" s="894"/>
      <c r="B97" s="895"/>
      <c r="C97" s="870"/>
      <c r="D97" s="896"/>
      <c r="E97" s="896"/>
      <c r="F97" s="897"/>
      <c r="G97" s="898"/>
      <c r="H97" s="899"/>
      <c r="I97" s="899"/>
      <c r="J97" s="840"/>
      <c r="K97" s="883"/>
      <c r="L97" s="884"/>
      <c r="M97" s="884"/>
      <c r="N97" s="884"/>
      <c r="O97" s="884"/>
      <c r="P97" s="884"/>
      <c r="Q97" s="884"/>
      <c r="R97" s="884"/>
      <c r="S97" s="884"/>
      <c r="T97" s="884"/>
      <c r="U97" s="884"/>
      <c r="V97" s="884"/>
      <c r="W97" s="885"/>
      <c r="X97" s="884"/>
      <c r="Y97" s="884"/>
      <c r="Z97" s="884"/>
      <c r="AA97" s="884"/>
      <c r="AB97" s="884"/>
      <c r="AC97" s="884"/>
      <c r="AD97" s="884"/>
      <c r="AE97" s="884"/>
      <c r="AF97" s="885"/>
    </row>
    <row r="98" spans="1:32" ht="13.5" thickBot="1">
      <c r="A98" s="900"/>
      <c r="B98" s="901"/>
      <c r="C98" s="813"/>
      <c r="D98" s="902"/>
      <c r="E98" s="903"/>
      <c r="F98" s="904"/>
      <c r="G98" s="905">
        <v>1</v>
      </c>
      <c r="H98" s="906">
        <f aca="true" t="shared" si="4" ref="H98:AF98">(1+$D$46)^H96</f>
        <v>1</v>
      </c>
      <c r="I98" s="906">
        <f t="shared" si="4"/>
        <v>1</v>
      </c>
      <c r="J98" s="907">
        <f t="shared" si="4"/>
        <v>1</v>
      </c>
      <c r="K98" s="905">
        <f t="shared" si="4"/>
        <v>1.04</v>
      </c>
      <c r="L98" s="906">
        <f t="shared" si="4"/>
        <v>1.0816000000000001</v>
      </c>
      <c r="M98" s="906">
        <f t="shared" si="4"/>
        <v>1.124864</v>
      </c>
      <c r="N98" s="906">
        <f t="shared" si="4"/>
        <v>1.1698585600000002</v>
      </c>
      <c r="O98" s="906">
        <f t="shared" si="4"/>
        <v>1.2166529024000003</v>
      </c>
      <c r="P98" s="906">
        <f t="shared" si="4"/>
        <v>1.2653190184960004</v>
      </c>
      <c r="Q98" s="906">
        <f t="shared" si="4"/>
        <v>1.3159317792358403</v>
      </c>
      <c r="R98" s="906">
        <f t="shared" si="4"/>
        <v>1.368569050405274</v>
      </c>
      <c r="S98" s="906">
        <f t="shared" si="4"/>
        <v>1.4233118124214852</v>
      </c>
      <c r="T98" s="906">
        <f t="shared" si="4"/>
        <v>1.4802442849183446</v>
      </c>
      <c r="U98" s="906">
        <f t="shared" si="4"/>
        <v>1.5394540563150783</v>
      </c>
      <c r="V98" s="906">
        <f t="shared" si="4"/>
        <v>1.6010322185676817</v>
      </c>
      <c r="W98" s="907">
        <f t="shared" si="4"/>
        <v>1.665073507310389</v>
      </c>
      <c r="X98" s="906">
        <f t="shared" si="4"/>
        <v>1.7316764476028046</v>
      </c>
      <c r="Y98" s="906">
        <f t="shared" si="4"/>
        <v>1.8009435055069167</v>
      </c>
      <c r="Z98" s="906">
        <f t="shared" si="4"/>
        <v>1.8729812457271937</v>
      </c>
      <c r="AA98" s="906">
        <f t="shared" si="4"/>
        <v>1.9479004955562815</v>
      </c>
      <c r="AB98" s="906">
        <f t="shared" si="4"/>
        <v>2.025816515378533</v>
      </c>
      <c r="AC98" s="906">
        <f t="shared" si="4"/>
        <v>2.1068491759936743</v>
      </c>
      <c r="AD98" s="906">
        <f t="shared" si="4"/>
        <v>2.1911231430334213</v>
      </c>
      <c r="AE98" s="906">
        <f t="shared" si="4"/>
        <v>2.2787680687547587</v>
      </c>
      <c r="AF98" s="907">
        <f t="shared" si="4"/>
        <v>2.369918791504949</v>
      </c>
    </row>
    <row r="99" spans="1:32" ht="13.5" thickBot="1">
      <c r="A99" s="908"/>
      <c r="B99" s="909"/>
      <c r="C99" s="886"/>
      <c r="D99" s="903"/>
      <c r="E99" s="903"/>
      <c r="F99" s="904"/>
      <c r="G99" s="910"/>
      <c r="H99" s="911"/>
      <c r="I99" s="911"/>
      <c r="J99" s="912"/>
      <c r="K99" s="913"/>
      <c r="L99" s="914"/>
      <c r="M99" s="914"/>
      <c r="N99" s="914"/>
      <c r="O99" s="914"/>
      <c r="P99" s="914"/>
      <c r="Q99" s="914"/>
      <c r="R99" s="914"/>
      <c r="S99" s="914"/>
      <c r="T99" s="914"/>
      <c r="U99" s="914"/>
      <c r="V99" s="914"/>
      <c r="W99" s="915"/>
      <c r="X99" s="914"/>
      <c r="Y99" s="914"/>
      <c r="Z99" s="914"/>
      <c r="AA99" s="914"/>
      <c r="AB99" s="914"/>
      <c r="AC99" s="914"/>
      <c r="AD99" s="914"/>
      <c r="AE99" s="914"/>
      <c r="AF99" s="915"/>
    </row>
    <row r="100" spans="1:32" ht="12.75">
      <c r="A100" s="895"/>
      <c r="B100" s="895"/>
      <c r="C100" s="916" t="s">
        <v>51</v>
      </c>
      <c r="D100" s="917"/>
      <c r="E100" s="918"/>
      <c r="F100" s="919"/>
      <c r="G100" s="920"/>
      <c r="H100" s="921"/>
      <c r="I100" s="921"/>
      <c r="J100" s="922"/>
      <c r="K100" s="923"/>
      <c r="L100" s="924"/>
      <c r="M100" s="924"/>
      <c r="N100" s="924"/>
      <c r="O100" s="924"/>
      <c r="P100" s="924"/>
      <c r="Q100" s="924"/>
      <c r="R100" s="924"/>
      <c r="S100" s="924"/>
      <c r="T100" s="924"/>
      <c r="U100" s="924"/>
      <c r="V100" s="924"/>
      <c r="W100" s="925"/>
      <c r="X100" s="924"/>
      <c r="Y100" s="924"/>
      <c r="Z100" s="924"/>
      <c r="AA100" s="924"/>
      <c r="AB100" s="924"/>
      <c r="AC100" s="924"/>
      <c r="AD100" s="924"/>
      <c r="AE100" s="924"/>
      <c r="AF100" s="925"/>
    </row>
    <row r="101" spans="1:32" ht="12.75">
      <c r="A101" s="880"/>
      <c r="B101" s="880"/>
      <c r="C101" s="926"/>
      <c r="D101" s="910"/>
      <c r="E101" s="911"/>
      <c r="F101" s="912"/>
      <c r="G101" s="910"/>
      <c r="H101" s="911"/>
      <c r="I101" s="911"/>
      <c r="J101" s="912"/>
      <c r="K101" s="927"/>
      <c r="L101" s="928"/>
      <c r="M101" s="928"/>
      <c r="N101" s="928"/>
      <c r="O101" s="928"/>
      <c r="P101" s="928"/>
      <c r="Q101" s="928"/>
      <c r="R101" s="928"/>
      <c r="S101" s="928"/>
      <c r="T101" s="928"/>
      <c r="U101" s="928"/>
      <c r="V101" s="928"/>
      <c r="W101" s="929"/>
      <c r="X101" s="928"/>
      <c r="Y101" s="928"/>
      <c r="Z101" s="928"/>
      <c r="AA101" s="928"/>
      <c r="AB101" s="928"/>
      <c r="AC101" s="928"/>
      <c r="AD101" s="928"/>
      <c r="AE101" s="928"/>
      <c r="AF101" s="929"/>
    </row>
    <row r="102" spans="1:32" ht="12.75">
      <c r="A102" s="880"/>
      <c r="B102" s="880"/>
      <c r="C102" s="819" t="s">
        <v>28</v>
      </c>
      <c r="D102" s="930">
        <f>SUM(D103:D108)</f>
        <v>-116.936</v>
      </c>
      <c r="E102" s="931">
        <f aca="true" t="shared" si="5" ref="E102:J102">SUM(E103:E108)</f>
        <v>-116.936</v>
      </c>
      <c r="F102" s="932">
        <f t="shared" si="5"/>
        <v>0</v>
      </c>
      <c r="G102" s="933">
        <f t="shared" si="5"/>
        <v>-36.4</v>
      </c>
      <c r="H102" s="934">
        <f t="shared" si="5"/>
        <v>-36.536</v>
      </c>
      <c r="I102" s="934">
        <f t="shared" si="5"/>
        <v>-27.5</v>
      </c>
      <c r="J102" s="935">
        <f t="shared" si="5"/>
        <v>-16.5</v>
      </c>
      <c r="K102" s="936"/>
      <c r="L102" s="937"/>
      <c r="M102" s="937"/>
      <c r="N102" s="937"/>
      <c r="O102" s="937"/>
      <c r="P102" s="937"/>
      <c r="Q102" s="937"/>
      <c r="R102" s="937"/>
      <c r="S102" s="937"/>
      <c r="T102" s="937"/>
      <c r="U102" s="937"/>
      <c r="V102" s="937"/>
      <c r="W102" s="938"/>
      <c r="X102" s="937"/>
      <c r="Y102" s="937"/>
      <c r="Z102" s="937"/>
      <c r="AA102" s="937"/>
      <c r="AB102" s="937"/>
      <c r="AC102" s="937"/>
      <c r="AD102" s="937"/>
      <c r="AE102" s="937"/>
      <c r="AF102" s="938"/>
    </row>
    <row r="103" spans="1:32" ht="12.75">
      <c r="A103" s="939"/>
      <c r="B103" s="939"/>
      <c r="C103" s="940" t="s">
        <v>144</v>
      </c>
      <c r="D103" s="941">
        <f aca="true" t="shared" si="6" ref="D103:D108">SUM(G103:AF103)</f>
        <v>-100</v>
      </c>
      <c r="E103" s="942">
        <f aca="true" t="shared" si="7" ref="E103:E108">SUM(G103:J103)</f>
        <v>-100</v>
      </c>
      <c r="F103" s="943">
        <f aca="true" t="shared" si="8" ref="F103:F108">SUM(K103:AF103)</f>
        <v>0</v>
      </c>
      <c r="G103" s="944">
        <f aca="true" t="shared" si="9" ref="G103:J107">-$D9*G9</f>
        <v>-30</v>
      </c>
      <c r="H103" s="945">
        <f t="shared" si="9"/>
        <v>-30</v>
      </c>
      <c r="I103" s="945">
        <f t="shared" si="9"/>
        <v>-25</v>
      </c>
      <c r="J103" s="946">
        <f t="shared" si="9"/>
        <v>-15</v>
      </c>
      <c r="K103" s="923"/>
      <c r="L103" s="924"/>
      <c r="M103" s="924"/>
      <c r="N103" s="924"/>
      <c r="O103" s="924"/>
      <c r="P103" s="924"/>
      <c r="Q103" s="924"/>
      <c r="R103" s="924"/>
      <c r="S103" s="924"/>
      <c r="T103" s="924"/>
      <c r="U103" s="924"/>
      <c r="V103" s="924"/>
      <c r="W103" s="925"/>
      <c r="X103" s="924"/>
      <c r="Y103" s="924"/>
      <c r="Z103" s="924"/>
      <c r="AA103" s="924"/>
      <c r="AB103" s="924"/>
      <c r="AC103" s="924"/>
      <c r="AD103" s="924"/>
      <c r="AE103" s="924"/>
      <c r="AF103" s="925"/>
    </row>
    <row r="104" spans="1:32" ht="12.75">
      <c r="A104" s="939"/>
      <c r="B104" s="939"/>
      <c r="C104" s="940" t="s">
        <v>143</v>
      </c>
      <c r="D104" s="941">
        <f t="shared" si="6"/>
        <v>-5</v>
      </c>
      <c r="E104" s="942">
        <f t="shared" si="7"/>
        <v>-5</v>
      </c>
      <c r="F104" s="943">
        <f t="shared" si="8"/>
        <v>0</v>
      </c>
      <c r="G104" s="944">
        <f t="shared" si="9"/>
        <v>-1.5</v>
      </c>
      <c r="H104" s="945">
        <f t="shared" si="9"/>
        <v>-1.5</v>
      </c>
      <c r="I104" s="945">
        <f t="shared" si="9"/>
        <v>-1.25</v>
      </c>
      <c r="J104" s="946">
        <f t="shared" si="9"/>
        <v>-0.75</v>
      </c>
      <c r="K104" s="923"/>
      <c r="L104" s="924"/>
      <c r="M104" s="924"/>
      <c r="N104" s="924"/>
      <c r="O104" s="924"/>
      <c r="P104" s="924"/>
      <c r="Q104" s="924"/>
      <c r="R104" s="924"/>
      <c r="S104" s="924"/>
      <c r="T104" s="924"/>
      <c r="U104" s="924"/>
      <c r="V104" s="924"/>
      <c r="W104" s="925"/>
      <c r="X104" s="924"/>
      <c r="Y104" s="924"/>
      <c r="Z104" s="924"/>
      <c r="AA104" s="924"/>
      <c r="AB104" s="924"/>
      <c r="AC104" s="924"/>
      <c r="AD104" s="924"/>
      <c r="AE104" s="924"/>
      <c r="AF104" s="925"/>
    </row>
    <row r="105" spans="1:32" ht="12.75">
      <c r="A105" s="939"/>
      <c r="B105" s="939"/>
      <c r="C105" s="940" t="s">
        <v>109</v>
      </c>
      <c r="D105" s="941">
        <f t="shared" si="6"/>
        <v>0</v>
      </c>
      <c r="E105" s="942">
        <f t="shared" si="7"/>
        <v>0</v>
      </c>
      <c r="F105" s="943">
        <f t="shared" si="8"/>
        <v>0</v>
      </c>
      <c r="G105" s="944">
        <f t="shared" si="9"/>
        <v>0</v>
      </c>
      <c r="H105" s="945">
        <f t="shared" si="9"/>
        <v>0</v>
      </c>
      <c r="I105" s="945">
        <f t="shared" si="9"/>
        <v>0</v>
      </c>
      <c r="J105" s="946">
        <f t="shared" si="9"/>
        <v>0</v>
      </c>
      <c r="K105" s="923"/>
      <c r="L105" s="924"/>
      <c r="M105" s="924"/>
      <c r="N105" s="924"/>
      <c r="O105" s="924"/>
      <c r="P105" s="924"/>
      <c r="Q105" s="924"/>
      <c r="R105" s="924"/>
      <c r="S105" s="924"/>
      <c r="T105" s="924"/>
      <c r="U105" s="924"/>
      <c r="V105" s="924"/>
      <c r="W105" s="925"/>
      <c r="X105" s="924"/>
      <c r="Y105" s="924"/>
      <c r="Z105" s="924"/>
      <c r="AA105" s="924"/>
      <c r="AB105" s="924"/>
      <c r="AC105" s="924"/>
      <c r="AD105" s="924"/>
      <c r="AE105" s="924"/>
      <c r="AF105" s="925"/>
    </row>
    <row r="106" spans="1:32" ht="12.75">
      <c r="A106" s="939"/>
      <c r="B106" s="939"/>
      <c r="C106" s="940" t="s">
        <v>109</v>
      </c>
      <c r="D106" s="941">
        <f t="shared" si="6"/>
        <v>0</v>
      </c>
      <c r="E106" s="942">
        <f t="shared" si="7"/>
        <v>0</v>
      </c>
      <c r="F106" s="943">
        <f t="shared" si="8"/>
        <v>0</v>
      </c>
      <c r="G106" s="944">
        <f t="shared" si="9"/>
        <v>0</v>
      </c>
      <c r="H106" s="945">
        <f t="shared" si="9"/>
        <v>0</v>
      </c>
      <c r="I106" s="945">
        <f t="shared" si="9"/>
        <v>0</v>
      </c>
      <c r="J106" s="946">
        <f t="shared" si="9"/>
        <v>0</v>
      </c>
      <c r="K106" s="923"/>
      <c r="L106" s="924"/>
      <c r="M106" s="924"/>
      <c r="N106" s="924"/>
      <c r="O106" s="924"/>
      <c r="P106" s="924"/>
      <c r="Q106" s="924"/>
      <c r="R106" s="924"/>
      <c r="S106" s="924"/>
      <c r="T106" s="924"/>
      <c r="U106" s="924"/>
      <c r="V106" s="924"/>
      <c r="W106" s="925"/>
      <c r="X106" s="924"/>
      <c r="Y106" s="924"/>
      <c r="Z106" s="924"/>
      <c r="AA106" s="924"/>
      <c r="AB106" s="924"/>
      <c r="AC106" s="924"/>
      <c r="AD106" s="924"/>
      <c r="AE106" s="924"/>
      <c r="AF106" s="925"/>
    </row>
    <row r="107" spans="1:32" ht="12.75">
      <c r="A107" s="939"/>
      <c r="B107" s="939"/>
      <c r="C107" s="926" t="s">
        <v>1</v>
      </c>
      <c r="D107" s="941">
        <f t="shared" si="6"/>
        <v>-5</v>
      </c>
      <c r="E107" s="942">
        <f t="shared" si="7"/>
        <v>-5</v>
      </c>
      <c r="F107" s="943">
        <f t="shared" si="8"/>
        <v>0</v>
      </c>
      <c r="G107" s="944">
        <f t="shared" si="9"/>
        <v>-1.5</v>
      </c>
      <c r="H107" s="945">
        <f t="shared" si="9"/>
        <v>-1.5</v>
      </c>
      <c r="I107" s="945">
        <f t="shared" si="9"/>
        <v>-1.25</v>
      </c>
      <c r="J107" s="946">
        <f t="shared" si="9"/>
        <v>-0.75</v>
      </c>
      <c r="K107" s="947"/>
      <c r="L107" s="948"/>
      <c r="M107" s="948"/>
      <c r="N107" s="948"/>
      <c r="O107" s="948"/>
      <c r="P107" s="948"/>
      <c r="Q107" s="948"/>
      <c r="R107" s="948"/>
      <c r="S107" s="948"/>
      <c r="T107" s="948"/>
      <c r="U107" s="948"/>
      <c r="V107" s="948"/>
      <c r="W107" s="949"/>
      <c r="X107" s="948"/>
      <c r="Y107" s="948"/>
      <c r="Z107" s="948"/>
      <c r="AA107" s="948"/>
      <c r="AB107" s="948"/>
      <c r="AC107" s="948"/>
      <c r="AD107" s="948"/>
      <c r="AE107" s="948"/>
      <c r="AF107" s="949"/>
    </row>
    <row r="108" spans="1:32" ht="12.75">
      <c r="A108" s="950"/>
      <c r="B108" s="939"/>
      <c r="C108" s="926" t="s">
        <v>37</v>
      </c>
      <c r="D108" s="941">
        <f t="shared" si="6"/>
        <v>-6.936</v>
      </c>
      <c r="E108" s="942">
        <f t="shared" si="7"/>
        <v>-6.936</v>
      </c>
      <c r="F108" s="943">
        <f t="shared" si="8"/>
        <v>0</v>
      </c>
      <c r="G108" s="944">
        <f>-G23</f>
        <v>-3.4</v>
      </c>
      <c r="H108" s="945">
        <f>-H23</f>
        <v>-3.5360000000000005</v>
      </c>
      <c r="I108" s="945">
        <f>-I23</f>
        <v>0</v>
      </c>
      <c r="J108" s="946">
        <f>-J23</f>
        <v>0</v>
      </c>
      <c r="K108" s="947"/>
      <c r="L108" s="948"/>
      <c r="M108" s="948"/>
      <c r="N108" s="948"/>
      <c r="O108" s="948"/>
      <c r="P108" s="948"/>
      <c r="Q108" s="948"/>
      <c r="R108" s="948"/>
      <c r="S108" s="948"/>
      <c r="T108" s="948"/>
      <c r="U108" s="948"/>
      <c r="V108" s="948"/>
      <c r="W108" s="949"/>
      <c r="X108" s="948"/>
      <c r="Y108" s="948"/>
      <c r="Z108" s="948"/>
      <c r="AA108" s="948"/>
      <c r="AB108" s="948"/>
      <c r="AC108" s="948"/>
      <c r="AD108" s="948"/>
      <c r="AE108" s="948"/>
      <c r="AF108" s="949"/>
    </row>
    <row r="109" spans="1:32" ht="12.75">
      <c r="A109" s="880"/>
      <c r="B109" s="880"/>
      <c r="C109" s="817"/>
      <c r="D109" s="951"/>
      <c r="E109" s="834"/>
      <c r="F109" s="952"/>
      <c r="G109" s="910"/>
      <c r="H109" s="911"/>
      <c r="I109" s="911"/>
      <c r="J109" s="912"/>
      <c r="K109" s="923"/>
      <c r="L109" s="924"/>
      <c r="M109" s="924"/>
      <c r="N109" s="924"/>
      <c r="O109" s="924"/>
      <c r="P109" s="924"/>
      <c r="Q109" s="924"/>
      <c r="R109" s="924"/>
      <c r="S109" s="924"/>
      <c r="T109" s="924"/>
      <c r="U109" s="924"/>
      <c r="V109" s="924"/>
      <c r="W109" s="925"/>
      <c r="X109" s="924"/>
      <c r="Y109" s="924"/>
      <c r="Z109" s="924"/>
      <c r="AA109" s="924"/>
      <c r="AB109" s="924"/>
      <c r="AC109" s="924"/>
      <c r="AD109" s="924"/>
      <c r="AE109" s="924"/>
      <c r="AF109" s="925"/>
    </row>
    <row r="110" spans="1:32" ht="12.75">
      <c r="A110" s="880"/>
      <c r="B110" s="880"/>
      <c r="C110" s="819" t="s">
        <v>6</v>
      </c>
      <c r="D110" s="953">
        <f>SUM(G110:AF110)</f>
        <v>116.936</v>
      </c>
      <c r="E110" s="954">
        <f>SUM(G110:J110)</f>
        <v>116.936</v>
      </c>
      <c r="F110" s="955">
        <f>SUM(K110:AF110)</f>
        <v>0</v>
      </c>
      <c r="G110" s="956">
        <f>SUM(G111:G113)</f>
        <v>45.968</v>
      </c>
      <c r="H110" s="957">
        <f>SUM(H111:H113)</f>
        <v>45.968</v>
      </c>
      <c r="I110" s="957">
        <f>SUM(I111:I113)</f>
        <v>12.5</v>
      </c>
      <c r="J110" s="958">
        <f>SUM(J111:J113)</f>
        <v>12.5</v>
      </c>
      <c r="K110" s="959"/>
      <c r="L110" s="960"/>
      <c r="M110" s="960"/>
      <c r="N110" s="960"/>
      <c r="O110" s="960"/>
      <c r="P110" s="960"/>
      <c r="Q110" s="960"/>
      <c r="R110" s="960"/>
      <c r="S110" s="960"/>
      <c r="T110" s="960"/>
      <c r="U110" s="960"/>
      <c r="V110" s="960"/>
      <c r="W110" s="961"/>
      <c r="X110" s="960"/>
      <c r="Y110" s="960"/>
      <c r="Z110" s="960"/>
      <c r="AA110" s="960"/>
      <c r="AB110" s="960"/>
      <c r="AC110" s="960"/>
      <c r="AD110" s="960"/>
      <c r="AE110" s="960"/>
      <c r="AF110" s="961"/>
    </row>
    <row r="111" spans="1:32" ht="12.75">
      <c r="A111" s="939"/>
      <c r="B111" s="939"/>
      <c r="C111" s="926" t="s">
        <v>43</v>
      </c>
      <c r="D111" s="941">
        <f>SUM(G111:AF111)</f>
        <v>0</v>
      </c>
      <c r="E111" s="942">
        <f>SUM(G111:J111)</f>
        <v>0</v>
      </c>
      <c r="F111" s="943">
        <f>SUM(K111:AF111)</f>
        <v>0</v>
      </c>
      <c r="G111" s="944">
        <f aca="true" t="shared" si="10" ref="G111:J112">$D17*G17</f>
        <v>0</v>
      </c>
      <c r="H111" s="945">
        <f t="shared" si="10"/>
        <v>0</v>
      </c>
      <c r="I111" s="945">
        <f t="shared" si="10"/>
        <v>0</v>
      </c>
      <c r="J111" s="946">
        <f t="shared" si="10"/>
        <v>0</v>
      </c>
      <c r="K111" s="927"/>
      <c r="L111" s="928"/>
      <c r="M111" s="928"/>
      <c r="N111" s="928"/>
      <c r="O111" s="928"/>
      <c r="P111" s="928"/>
      <c r="Q111" s="928"/>
      <c r="R111" s="928"/>
      <c r="S111" s="928"/>
      <c r="T111" s="928"/>
      <c r="U111" s="928"/>
      <c r="V111" s="928"/>
      <c r="W111" s="929"/>
      <c r="X111" s="928"/>
      <c r="Y111" s="928"/>
      <c r="Z111" s="928"/>
      <c r="AA111" s="928"/>
      <c r="AB111" s="928"/>
      <c r="AC111" s="928"/>
      <c r="AD111" s="928"/>
      <c r="AE111" s="928"/>
      <c r="AF111" s="929"/>
    </row>
    <row r="112" spans="1:32" ht="12.75">
      <c r="A112" s="962"/>
      <c r="B112" s="939"/>
      <c r="C112" s="926" t="s">
        <v>3</v>
      </c>
      <c r="D112" s="941">
        <f>SUM(G112:AF112)</f>
        <v>25</v>
      </c>
      <c r="E112" s="942">
        <f>SUM(G112:J112)</f>
        <v>25</v>
      </c>
      <c r="F112" s="943">
        <f>SUM(K112:AF112)</f>
        <v>0</v>
      </c>
      <c r="G112" s="944">
        <f t="shared" si="10"/>
        <v>0</v>
      </c>
      <c r="H112" s="945">
        <f t="shared" si="10"/>
        <v>0</v>
      </c>
      <c r="I112" s="945">
        <f t="shared" si="10"/>
        <v>12.5</v>
      </c>
      <c r="J112" s="946">
        <f t="shared" si="10"/>
        <v>12.5</v>
      </c>
      <c r="K112" s="927"/>
      <c r="L112" s="928"/>
      <c r="M112" s="928"/>
      <c r="N112" s="928"/>
      <c r="O112" s="928"/>
      <c r="P112" s="928"/>
      <c r="Q112" s="928"/>
      <c r="R112" s="928"/>
      <c r="S112" s="928"/>
      <c r="T112" s="928"/>
      <c r="U112" s="928"/>
      <c r="V112" s="928"/>
      <c r="W112" s="929"/>
      <c r="X112" s="928"/>
      <c r="Y112" s="928"/>
      <c r="Z112" s="928"/>
      <c r="AA112" s="928"/>
      <c r="AB112" s="928"/>
      <c r="AC112" s="928"/>
      <c r="AD112" s="928"/>
      <c r="AE112" s="928"/>
      <c r="AF112" s="929"/>
    </row>
    <row r="113" spans="1:32" ht="12.75">
      <c r="A113" s="963"/>
      <c r="B113" s="939"/>
      <c r="C113" s="926" t="s">
        <v>34</v>
      </c>
      <c r="D113" s="941">
        <f>SUM(G113:AF113)</f>
        <v>91.936</v>
      </c>
      <c r="E113" s="942">
        <f>SUM(G113:J113)</f>
        <v>91.936</v>
      </c>
      <c r="F113" s="943">
        <f>SUM(K113:AF113)</f>
        <v>0</v>
      </c>
      <c r="G113" s="944">
        <f>$D24*G22</f>
        <v>45.968</v>
      </c>
      <c r="H113" s="945">
        <f>$D24*H22</f>
        <v>45.968</v>
      </c>
      <c r="I113" s="945">
        <f>$D24*I22</f>
        <v>0</v>
      </c>
      <c r="J113" s="946">
        <f>$D24*J22</f>
        <v>0</v>
      </c>
      <c r="K113" s="927"/>
      <c r="L113" s="928"/>
      <c r="M113" s="928"/>
      <c r="N113" s="928"/>
      <c r="O113" s="928"/>
      <c r="P113" s="928"/>
      <c r="Q113" s="928"/>
      <c r="R113" s="928"/>
      <c r="S113" s="928"/>
      <c r="T113" s="928"/>
      <c r="U113" s="928"/>
      <c r="V113" s="928"/>
      <c r="W113" s="929"/>
      <c r="X113" s="928"/>
      <c r="Y113" s="928"/>
      <c r="Z113" s="928"/>
      <c r="AA113" s="928"/>
      <c r="AB113" s="928"/>
      <c r="AC113" s="928"/>
      <c r="AD113" s="928"/>
      <c r="AE113" s="928"/>
      <c r="AF113" s="929"/>
    </row>
    <row r="114" spans="1:32" ht="13.5" thickBot="1">
      <c r="A114" s="939"/>
      <c r="B114" s="939"/>
      <c r="C114" s="926"/>
      <c r="D114" s="910"/>
      <c r="E114" s="911"/>
      <c r="F114" s="912"/>
      <c r="G114" s="964"/>
      <c r="H114" s="965"/>
      <c r="I114" s="965"/>
      <c r="J114" s="966"/>
      <c r="K114" s="967"/>
      <c r="L114" s="968"/>
      <c r="M114" s="968"/>
      <c r="N114" s="968"/>
      <c r="O114" s="968"/>
      <c r="P114" s="968"/>
      <c r="Q114" s="968"/>
      <c r="R114" s="968"/>
      <c r="S114" s="968"/>
      <c r="T114" s="968"/>
      <c r="U114" s="968"/>
      <c r="V114" s="968"/>
      <c r="W114" s="949"/>
      <c r="X114" s="948"/>
      <c r="Y114" s="948"/>
      <c r="Z114" s="948"/>
      <c r="AA114" s="948"/>
      <c r="AB114" s="948"/>
      <c r="AC114" s="948"/>
      <c r="AD114" s="948"/>
      <c r="AE114" s="948"/>
      <c r="AF114" s="949"/>
    </row>
    <row r="115" spans="1:32" ht="12.75">
      <c r="A115" s="869"/>
      <c r="B115" s="869"/>
      <c r="C115" s="970" t="s">
        <v>50</v>
      </c>
      <c r="D115" s="920"/>
      <c r="E115" s="921"/>
      <c r="F115" s="922"/>
      <c r="G115" s="920"/>
      <c r="H115" s="921"/>
      <c r="I115" s="921"/>
      <c r="J115" s="922"/>
      <c r="K115" s="971"/>
      <c r="L115" s="972"/>
      <c r="M115" s="972"/>
      <c r="N115" s="972"/>
      <c r="O115" s="972"/>
      <c r="P115" s="972"/>
      <c r="Q115" s="972"/>
      <c r="R115" s="972"/>
      <c r="S115" s="972"/>
      <c r="T115" s="972"/>
      <c r="U115" s="972"/>
      <c r="V115" s="972"/>
      <c r="W115" s="973"/>
      <c r="X115" s="972"/>
      <c r="Y115" s="972"/>
      <c r="Z115" s="972"/>
      <c r="AA115" s="972"/>
      <c r="AB115" s="972"/>
      <c r="AC115" s="972"/>
      <c r="AD115" s="972"/>
      <c r="AE115" s="972"/>
      <c r="AF115" s="973"/>
    </row>
    <row r="116" spans="1:32" ht="12.75">
      <c r="A116" s="939"/>
      <c r="B116" s="939"/>
      <c r="C116" s="974"/>
      <c r="D116" s="910"/>
      <c r="E116" s="911"/>
      <c r="F116" s="912"/>
      <c r="G116" s="910"/>
      <c r="H116" s="911"/>
      <c r="I116" s="911"/>
      <c r="J116" s="912"/>
      <c r="K116" s="975"/>
      <c r="L116" s="976"/>
      <c r="M116" s="976"/>
      <c r="N116" s="976"/>
      <c r="O116" s="976"/>
      <c r="P116" s="976"/>
      <c r="Q116" s="976"/>
      <c r="R116" s="976"/>
      <c r="S116" s="976"/>
      <c r="T116" s="976"/>
      <c r="U116" s="976"/>
      <c r="V116" s="976"/>
      <c r="W116" s="977"/>
      <c r="X116" s="976"/>
      <c r="Y116" s="976"/>
      <c r="Z116" s="976"/>
      <c r="AA116" s="976"/>
      <c r="AB116" s="976"/>
      <c r="AC116" s="976"/>
      <c r="AD116" s="976"/>
      <c r="AE116" s="976"/>
      <c r="AF116" s="977"/>
    </row>
    <row r="117" spans="1:32" ht="12.75">
      <c r="A117" s="880"/>
      <c r="B117" s="880"/>
      <c r="C117" s="819" t="s">
        <v>2</v>
      </c>
      <c r="D117" s="930">
        <f>SUM(G117:AF117)</f>
        <v>673.5009503594832</v>
      </c>
      <c r="E117" s="931">
        <f>SUM(G117:J117)</f>
        <v>0</v>
      </c>
      <c r="F117" s="932">
        <f>SUM(K117:AF117)</f>
        <v>673.5009503594832</v>
      </c>
      <c r="G117" s="978"/>
      <c r="H117" s="979"/>
      <c r="I117" s="979"/>
      <c r="J117" s="980"/>
      <c r="K117" s="981">
        <f aca="true" t="shared" si="11" ref="K117:AF117">SUM(K118:K118)</f>
        <v>19.6654270176</v>
      </c>
      <c r="L117" s="982">
        <f t="shared" si="11"/>
        <v>20.452044098304004</v>
      </c>
      <c r="M117" s="982">
        <f t="shared" si="11"/>
        <v>21.27012586223616</v>
      </c>
      <c r="N117" s="982">
        <f t="shared" si="11"/>
        <v>22.120930896725614</v>
      </c>
      <c r="O117" s="982">
        <f t="shared" si="11"/>
        <v>23.00576813259464</v>
      </c>
      <c r="P117" s="982">
        <f t="shared" si="11"/>
        <v>23.925998857898424</v>
      </c>
      <c r="Q117" s="982">
        <f t="shared" si="11"/>
        <v>24.883038812214355</v>
      </c>
      <c r="R117" s="982">
        <f t="shared" si="11"/>
        <v>25.878360364702935</v>
      </c>
      <c r="S117" s="982">
        <f t="shared" si="11"/>
        <v>26.913494779291057</v>
      </c>
      <c r="T117" s="982">
        <f t="shared" si="11"/>
        <v>27.990034570462697</v>
      </c>
      <c r="U117" s="982">
        <f t="shared" si="11"/>
        <v>29.109635953281206</v>
      </c>
      <c r="V117" s="982">
        <f t="shared" si="11"/>
        <v>30.274021391412457</v>
      </c>
      <c r="W117" s="983">
        <f t="shared" si="11"/>
        <v>31.484982247068952</v>
      </c>
      <c r="X117" s="982">
        <f t="shared" si="11"/>
        <v>32.74438153695172</v>
      </c>
      <c r="Y117" s="982">
        <f t="shared" si="11"/>
        <v>34.05415679842978</v>
      </c>
      <c r="Z117" s="982">
        <f t="shared" si="11"/>
        <v>35.416323070366985</v>
      </c>
      <c r="AA117" s="982">
        <f t="shared" si="11"/>
        <v>36.83297599318166</v>
      </c>
      <c r="AB117" s="982">
        <f t="shared" si="11"/>
        <v>38.30629503290893</v>
      </c>
      <c r="AC117" s="982">
        <f t="shared" si="11"/>
        <v>39.83854683422528</v>
      </c>
      <c r="AD117" s="982">
        <f t="shared" si="11"/>
        <v>41.4320887075943</v>
      </c>
      <c r="AE117" s="982">
        <f t="shared" si="11"/>
        <v>43.089372255898084</v>
      </c>
      <c r="AF117" s="983">
        <f t="shared" si="11"/>
        <v>44.81294714613401</v>
      </c>
    </row>
    <row r="118" spans="1:32" ht="12.75">
      <c r="A118" s="950"/>
      <c r="B118" s="984"/>
      <c r="C118" s="926"/>
      <c r="D118" s="941">
        <f>SUM(G118:AF118)</f>
        <v>673.5009503594832</v>
      </c>
      <c r="E118" s="942">
        <f>SUM(G118:J118)</f>
        <v>0</v>
      </c>
      <c r="F118" s="943">
        <f>SUM(K118:AF118)</f>
        <v>673.5009503594832</v>
      </c>
      <c r="G118" s="910"/>
      <c r="H118" s="911"/>
      <c r="I118" s="911"/>
      <c r="J118" s="912"/>
      <c r="K118" s="944">
        <f>($D$48+$D$49)/1000*$D$33*$D$37/1000*365*K98/1000000*1.41*$D$35</f>
        <v>19.6654270176</v>
      </c>
      <c r="L118" s="945">
        <f aca="true" t="shared" si="12" ref="L118:AF118">($D$48+$D$49)/1000*$D$33*$D$37/1000*365*L98/1000000*1.41*$D$35</f>
        <v>20.452044098304004</v>
      </c>
      <c r="M118" s="945">
        <f t="shared" si="12"/>
        <v>21.27012586223616</v>
      </c>
      <c r="N118" s="945">
        <f t="shared" si="12"/>
        <v>22.120930896725614</v>
      </c>
      <c r="O118" s="945">
        <f t="shared" si="12"/>
        <v>23.00576813259464</v>
      </c>
      <c r="P118" s="945">
        <f t="shared" si="12"/>
        <v>23.925998857898424</v>
      </c>
      <c r="Q118" s="945">
        <f t="shared" si="12"/>
        <v>24.883038812214355</v>
      </c>
      <c r="R118" s="945">
        <f t="shared" si="12"/>
        <v>25.878360364702935</v>
      </c>
      <c r="S118" s="945">
        <f t="shared" si="12"/>
        <v>26.913494779291057</v>
      </c>
      <c r="T118" s="945">
        <f t="shared" si="12"/>
        <v>27.990034570462697</v>
      </c>
      <c r="U118" s="945">
        <f t="shared" si="12"/>
        <v>29.109635953281206</v>
      </c>
      <c r="V118" s="945">
        <f t="shared" si="12"/>
        <v>30.274021391412457</v>
      </c>
      <c r="W118" s="946">
        <f t="shared" si="12"/>
        <v>31.484982247068952</v>
      </c>
      <c r="X118" s="945">
        <f t="shared" si="12"/>
        <v>32.74438153695172</v>
      </c>
      <c r="Y118" s="945">
        <f t="shared" si="12"/>
        <v>34.05415679842978</v>
      </c>
      <c r="Z118" s="945">
        <f t="shared" si="12"/>
        <v>35.416323070366985</v>
      </c>
      <c r="AA118" s="945">
        <f t="shared" si="12"/>
        <v>36.83297599318166</v>
      </c>
      <c r="AB118" s="945">
        <f t="shared" si="12"/>
        <v>38.30629503290893</v>
      </c>
      <c r="AC118" s="945">
        <f t="shared" si="12"/>
        <v>39.83854683422528</v>
      </c>
      <c r="AD118" s="945">
        <f t="shared" si="12"/>
        <v>41.4320887075943</v>
      </c>
      <c r="AE118" s="945">
        <f t="shared" si="12"/>
        <v>43.089372255898084</v>
      </c>
      <c r="AF118" s="946">
        <f t="shared" si="12"/>
        <v>44.81294714613401</v>
      </c>
    </row>
    <row r="119" spans="1:32" ht="12.75">
      <c r="A119" s="939"/>
      <c r="B119" s="939"/>
      <c r="C119" s="990"/>
      <c r="D119" s="910"/>
      <c r="E119" s="911"/>
      <c r="F119" s="912"/>
      <c r="G119" s="910"/>
      <c r="H119" s="911"/>
      <c r="I119" s="911"/>
      <c r="J119" s="912"/>
      <c r="K119" s="910"/>
      <c r="L119" s="911"/>
      <c r="M119" s="911"/>
      <c r="N119" s="911"/>
      <c r="O119" s="911"/>
      <c r="P119" s="911"/>
      <c r="Q119" s="911"/>
      <c r="R119" s="911"/>
      <c r="S119" s="911"/>
      <c r="T119" s="911"/>
      <c r="U119" s="911"/>
      <c r="V119" s="911"/>
      <c r="W119" s="912"/>
      <c r="X119" s="911"/>
      <c r="Y119" s="911"/>
      <c r="Z119" s="911"/>
      <c r="AA119" s="911"/>
      <c r="AB119" s="911"/>
      <c r="AC119" s="911"/>
      <c r="AD119" s="911"/>
      <c r="AE119" s="911"/>
      <c r="AF119" s="912"/>
    </row>
    <row r="120" spans="1:32" ht="12.75">
      <c r="A120" s="880"/>
      <c r="B120" s="880"/>
      <c r="C120" s="819" t="s">
        <v>20</v>
      </c>
      <c r="D120" s="930">
        <f aca="true" t="shared" si="13" ref="D120:D125">SUM(G120:AF120)</f>
        <v>-341.3118236288543</v>
      </c>
      <c r="E120" s="931">
        <f aca="true" t="shared" si="14" ref="E120:E125">SUM(G120:J120)</f>
        <v>0</v>
      </c>
      <c r="F120" s="932">
        <f aca="true" t="shared" si="15" ref="F120:F125">SUM(K120:AF120)</f>
        <v>-341.3118236288543</v>
      </c>
      <c r="G120" s="978"/>
      <c r="H120" s="979"/>
      <c r="I120" s="979"/>
      <c r="J120" s="980"/>
      <c r="K120" s="981">
        <f aca="true" t="shared" si="16" ref="K120:AF120">SUM(K121:K125)</f>
        <v>-20.20508130232558</v>
      </c>
      <c r="L120" s="982">
        <f t="shared" si="16"/>
        <v>-19.870449354418607</v>
      </c>
      <c r="M120" s="982">
        <f t="shared" si="16"/>
        <v>-19.545062528595352</v>
      </c>
      <c r="N120" s="982">
        <f t="shared" si="16"/>
        <v>-19.229290629739168</v>
      </c>
      <c r="O120" s="982">
        <f t="shared" si="16"/>
        <v>-18.92351825492873</v>
      </c>
      <c r="P120" s="982">
        <f t="shared" si="16"/>
        <v>-18.628145385125883</v>
      </c>
      <c r="Q120" s="982">
        <f t="shared" si="16"/>
        <v>-18.343588000530914</v>
      </c>
      <c r="R120" s="982">
        <f t="shared" si="16"/>
        <v>-18.070278720552153</v>
      </c>
      <c r="S120" s="982">
        <f t="shared" si="16"/>
        <v>-17.80866746937424</v>
      </c>
      <c r="T120" s="982">
        <f t="shared" si="16"/>
        <v>-17.55922216814921</v>
      </c>
      <c r="U120" s="982">
        <f t="shared" si="16"/>
        <v>-17.322429454875177</v>
      </c>
      <c r="V120" s="982">
        <f t="shared" si="16"/>
        <v>-17.098795433070187</v>
      </c>
      <c r="W120" s="983">
        <f t="shared" si="16"/>
        <v>-16.888846450392993</v>
      </c>
      <c r="X120" s="982">
        <f t="shared" si="16"/>
        <v>-9.621129908408712</v>
      </c>
      <c r="Y120" s="982">
        <f t="shared" si="16"/>
        <v>-10.005975104745062</v>
      </c>
      <c r="Z120" s="982">
        <f t="shared" si="16"/>
        <v>-10.406214108934865</v>
      </c>
      <c r="AA120" s="982">
        <f t="shared" si="16"/>
        <v>-10.82246267329226</v>
      </c>
      <c r="AB120" s="982">
        <f t="shared" si="16"/>
        <v>-11.255361180223952</v>
      </c>
      <c r="AC120" s="982">
        <f t="shared" si="16"/>
        <v>-11.70557562743291</v>
      </c>
      <c r="AD120" s="982">
        <f t="shared" si="16"/>
        <v>-12.173798652530227</v>
      </c>
      <c r="AE120" s="982">
        <f t="shared" si="16"/>
        <v>-12.66075059863144</v>
      </c>
      <c r="AF120" s="983">
        <f t="shared" si="16"/>
        <v>-13.167180622576694</v>
      </c>
    </row>
    <row r="121" spans="1:32" ht="12.75">
      <c r="A121" s="939"/>
      <c r="B121" s="939"/>
      <c r="C121" s="926" t="s">
        <v>52</v>
      </c>
      <c r="D121" s="941">
        <f t="shared" si="13"/>
        <v>-91.93600000000002</v>
      </c>
      <c r="E121" s="942">
        <f t="shared" si="14"/>
        <v>0</v>
      </c>
      <c r="F121" s="943">
        <f t="shared" si="15"/>
        <v>-91.93600000000002</v>
      </c>
      <c r="G121" s="975"/>
      <c r="H121" s="976"/>
      <c r="I121" s="976"/>
      <c r="J121" s="977"/>
      <c r="K121" s="985">
        <f aca="true" t="shared" si="17" ref="K121:W121">-$D$24/$D$21</f>
        <v>-7.072000000000001</v>
      </c>
      <c r="L121" s="986">
        <f t="shared" si="17"/>
        <v>-7.072000000000001</v>
      </c>
      <c r="M121" s="986">
        <f t="shared" si="17"/>
        <v>-7.072000000000001</v>
      </c>
      <c r="N121" s="986">
        <f t="shared" si="17"/>
        <v>-7.072000000000001</v>
      </c>
      <c r="O121" s="986">
        <f t="shared" si="17"/>
        <v>-7.072000000000001</v>
      </c>
      <c r="P121" s="986">
        <f t="shared" si="17"/>
        <v>-7.072000000000001</v>
      </c>
      <c r="Q121" s="986">
        <f t="shared" si="17"/>
        <v>-7.072000000000001</v>
      </c>
      <c r="R121" s="986">
        <f t="shared" si="17"/>
        <v>-7.072000000000001</v>
      </c>
      <c r="S121" s="986">
        <f t="shared" si="17"/>
        <v>-7.072000000000001</v>
      </c>
      <c r="T121" s="986">
        <f t="shared" si="17"/>
        <v>-7.072000000000001</v>
      </c>
      <c r="U121" s="986">
        <f t="shared" si="17"/>
        <v>-7.072000000000001</v>
      </c>
      <c r="V121" s="986">
        <f t="shared" si="17"/>
        <v>-7.072000000000001</v>
      </c>
      <c r="W121" s="987">
        <f t="shared" si="17"/>
        <v>-7.072000000000001</v>
      </c>
      <c r="X121" s="976"/>
      <c r="Y121" s="976"/>
      <c r="Z121" s="976"/>
      <c r="AA121" s="976"/>
      <c r="AB121" s="976"/>
      <c r="AC121" s="976"/>
      <c r="AD121" s="976"/>
      <c r="AE121" s="976"/>
      <c r="AF121" s="977"/>
    </row>
    <row r="122" spans="1:32" ht="12.75">
      <c r="A122" s="950"/>
      <c r="B122" s="939"/>
      <c r="C122" s="926" t="s">
        <v>53</v>
      </c>
      <c r="D122" s="941">
        <f t="shared" si="13"/>
        <v>-51.48416</v>
      </c>
      <c r="E122" s="942">
        <f t="shared" si="14"/>
        <v>0</v>
      </c>
      <c r="F122" s="943">
        <f t="shared" si="15"/>
        <v>-51.48416</v>
      </c>
      <c r="G122" s="975"/>
      <c r="H122" s="976"/>
      <c r="I122" s="976"/>
      <c r="J122" s="977"/>
      <c r="K122" s="985">
        <f>-$D$24*$D$20</f>
        <v>-7.3548800000000005</v>
      </c>
      <c r="L122" s="986">
        <f>(-$D$24-SUM($K121:K121))*$D$20</f>
        <v>-6.7891200000000005</v>
      </c>
      <c r="M122" s="986">
        <f>(-$D$24-SUM($K121:L121))*$D$20</f>
        <v>-6.2233600000000004</v>
      </c>
      <c r="N122" s="986">
        <f>(-$D$24-SUM($K121:M121))*$D$20</f>
        <v>-5.6576</v>
      </c>
      <c r="O122" s="986">
        <f>(-$D$24-SUM($K121:N121))*$D$20</f>
        <v>-5.09184</v>
      </c>
      <c r="P122" s="986">
        <f>(-$D$24-SUM($K121:O121))*$D$20</f>
        <v>-4.52608</v>
      </c>
      <c r="Q122" s="986">
        <f>(-$D$24-SUM($K121:P121))*$D$20</f>
        <v>-3.96032</v>
      </c>
      <c r="R122" s="986">
        <f>(-$D$24-SUM($K121:Q121))*$D$20</f>
        <v>-3.39456</v>
      </c>
      <c r="S122" s="986">
        <f>(-$D$24-SUM($K121:R121))*$D$20</f>
        <v>-2.8287999999999993</v>
      </c>
      <c r="T122" s="986">
        <f>(-$D$24-SUM($K121:S121))*$D$20</f>
        <v>-2.2630399999999993</v>
      </c>
      <c r="U122" s="986">
        <f>(-$D$24-SUM($K121:T121))*$D$20</f>
        <v>-1.6972799999999995</v>
      </c>
      <c r="V122" s="986">
        <f>(-$D$24-SUM($K121:U121))*$D$20</f>
        <v>-1.1315199999999994</v>
      </c>
      <c r="W122" s="987">
        <f>(-$D$24-SUM($K121:V121))*$D$20</f>
        <v>-0.565759999999999</v>
      </c>
      <c r="X122" s="987">
        <f>(-$D$24-SUM($K121:W121))*$D$20</f>
        <v>1.1368683772161603E-15</v>
      </c>
      <c r="Y122" s="976"/>
      <c r="Z122" s="976"/>
      <c r="AA122" s="976"/>
      <c r="AB122" s="976"/>
      <c r="AC122" s="976"/>
      <c r="AD122" s="976"/>
      <c r="AE122" s="976"/>
      <c r="AF122" s="977"/>
    </row>
    <row r="123" spans="1:32" ht="12.75">
      <c r="A123" s="950"/>
      <c r="B123" s="984"/>
      <c r="C123" s="926" t="s">
        <v>5</v>
      </c>
      <c r="D123" s="941">
        <f t="shared" si="13"/>
        <v>-17.808944289564316</v>
      </c>
      <c r="E123" s="942">
        <f t="shared" si="14"/>
        <v>0</v>
      </c>
      <c r="F123" s="943">
        <f t="shared" si="15"/>
        <v>-17.808944289564316</v>
      </c>
      <c r="G123" s="975"/>
      <c r="H123" s="976"/>
      <c r="I123" s="976"/>
      <c r="J123" s="977"/>
      <c r="K123" s="985">
        <f aca="true" t="shared" si="18" ref="K123:AF123">-K59*K98</f>
        <v>-0.52</v>
      </c>
      <c r="L123" s="986">
        <f t="shared" si="18"/>
        <v>-0.5408000000000001</v>
      </c>
      <c r="M123" s="986">
        <f t="shared" si="18"/>
        <v>-0.562432</v>
      </c>
      <c r="N123" s="986">
        <f t="shared" si="18"/>
        <v>-0.5849292800000001</v>
      </c>
      <c r="O123" s="986">
        <f t="shared" si="18"/>
        <v>-0.6083264512000002</v>
      </c>
      <c r="P123" s="986">
        <f t="shared" si="18"/>
        <v>-0.6326595092480002</v>
      </c>
      <c r="Q123" s="986">
        <f t="shared" si="18"/>
        <v>-0.6579658896179201</v>
      </c>
      <c r="R123" s="986">
        <f t="shared" si="18"/>
        <v>-0.684284525202637</v>
      </c>
      <c r="S123" s="986">
        <f t="shared" si="18"/>
        <v>-0.7116559062107426</v>
      </c>
      <c r="T123" s="986">
        <f t="shared" si="18"/>
        <v>-0.7401221424591723</v>
      </c>
      <c r="U123" s="986">
        <f t="shared" si="18"/>
        <v>-0.7697270281575391</v>
      </c>
      <c r="V123" s="986">
        <f t="shared" si="18"/>
        <v>-0.8005161092838409</v>
      </c>
      <c r="W123" s="987">
        <f t="shared" si="18"/>
        <v>-0.8325367536551945</v>
      </c>
      <c r="X123" s="986">
        <f t="shared" si="18"/>
        <v>-0.8658382238014023</v>
      </c>
      <c r="Y123" s="986">
        <f t="shared" si="18"/>
        <v>-0.9004717527534584</v>
      </c>
      <c r="Z123" s="986">
        <f t="shared" si="18"/>
        <v>-0.9364906228635969</v>
      </c>
      <c r="AA123" s="986">
        <f t="shared" si="18"/>
        <v>-0.9739502477781408</v>
      </c>
      <c r="AB123" s="986">
        <f t="shared" si="18"/>
        <v>-1.0129082576892665</v>
      </c>
      <c r="AC123" s="986">
        <f t="shared" si="18"/>
        <v>-1.0534245879968371</v>
      </c>
      <c r="AD123" s="986">
        <f t="shared" si="18"/>
        <v>-1.0955615715167106</v>
      </c>
      <c r="AE123" s="986">
        <f t="shared" si="18"/>
        <v>-1.1393840343773793</v>
      </c>
      <c r="AF123" s="987">
        <f t="shared" si="18"/>
        <v>-1.1849593957524744</v>
      </c>
    </row>
    <row r="124" spans="1:32" ht="12.75">
      <c r="A124" s="939"/>
      <c r="B124" s="939"/>
      <c r="C124" s="926" t="s">
        <v>58</v>
      </c>
      <c r="D124" s="941">
        <f t="shared" si="13"/>
        <v>-139.15826235566533</v>
      </c>
      <c r="E124" s="942">
        <f t="shared" si="14"/>
        <v>0</v>
      </c>
      <c r="F124" s="943">
        <f t="shared" si="15"/>
        <v>-139.15826235566533</v>
      </c>
      <c r="G124" s="975"/>
      <c r="H124" s="976"/>
      <c r="I124" s="976"/>
      <c r="J124" s="977"/>
      <c r="K124" s="985">
        <f aca="true" t="shared" si="19" ref="K124:AF124">-$D$51*(1+$D$55)*K98</f>
        <v>-4.0632558139534884</v>
      </c>
      <c r="L124" s="986">
        <f t="shared" si="19"/>
        <v>-4.225786046511629</v>
      </c>
      <c r="M124" s="986">
        <f t="shared" si="19"/>
        <v>-4.394817488372093</v>
      </c>
      <c r="N124" s="986">
        <f t="shared" si="19"/>
        <v>-4.570610187906977</v>
      </c>
      <c r="O124" s="986">
        <f t="shared" si="19"/>
        <v>-4.753434595423257</v>
      </c>
      <c r="P124" s="986">
        <f t="shared" si="19"/>
        <v>-4.943571979240187</v>
      </c>
      <c r="Q124" s="986">
        <f t="shared" si="19"/>
        <v>-5.141314858409794</v>
      </c>
      <c r="R124" s="986">
        <f t="shared" si="19"/>
        <v>-5.346967452746187</v>
      </c>
      <c r="S124" s="986">
        <f t="shared" si="19"/>
        <v>-5.560846150856035</v>
      </c>
      <c r="T124" s="986">
        <f t="shared" si="19"/>
        <v>-5.783279996890276</v>
      </c>
      <c r="U124" s="986">
        <f t="shared" si="19"/>
        <v>-6.014611196765887</v>
      </c>
      <c r="V124" s="986">
        <f t="shared" si="19"/>
        <v>-6.255195644636523</v>
      </c>
      <c r="W124" s="987">
        <f t="shared" si="19"/>
        <v>-6.505403470421985</v>
      </c>
      <c r="X124" s="986">
        <f t="shared" si="19"/>
        <v>-6.765619609238864</v>
      </c>
      <c r="Y124" s="986">
        <f t="shared" si="19"/>
        <v>-7.036244393608419</v>
      </c>
      <c r="Z124" s="986">
        <f t="shared" si="19"/>
        <v>-7.317694169352756</v>
      </c>
      <c r="AA124" s="986">
        <f t="shared" si="19"/>
        <v>-7.610401936126867</v>
      </c>
      <c r="AB124" s="986">
        <f t="shared" si="19"/>
        <v>-7.914818013571943</v>
      </c>
      <c r="AC124" s="986">
        <f t="shared" si="19"/>
        <v>-8.23141073411482</v>
      </c>
      <c r="AD124" s="986">
        <f t="shared" si="19"/>
        <v>-8.560667163479414</v>
      </c>
      <c r="AE124" s="986">
        <f t="shared" si="19"/>
        <v>-8.903093850018593</v>
      </c>
      <c r="AF124" s="987">
        <f t="shared" si="19"/>
        <v>-9.259217604019335</v>
      </c>
    </row>
    <row r="125" spans="1:32" ht="12.75">
      <c r="A125" s="939"/>
      <c r="B125" s="939"/>
      <c r="C125" s="926" t="s">
        <v>59</v>
      </c>
      <c r="D125" s="941">
        <f t="shared" si="13"/>
        <v>-40.924456983624665</v>
      </c>
      <c r="E125" s="942">
        <f t="shared" si="14"/>
        <v>0</v>
      </c>
      <c r="F125" s="943">
        <f t="shared" si="15"/>
        <v>-40.924456983624665</v>
      </c>
      <c r="G125" s="975"/>
      <c r="H125" s="976"/>
      <c r="I125" s="976"/>
      <c r="J125" s="977"/>
      <c r="K125" s="985">
        <f aca="true" t="shared" si="20" ref="K125:AF125">-(1+$D$55)*K54*K98</f>
        <v>-1.1949454883720931</v>
      </c>
      <c r="L125" s="986">
        <f t="shared" si="20"/>
        <v>-1.242743307906977</v>
      </c>
      <c r="M125" s="986">
        <f t="shared" si="20"/>
        <v>-1.292453040223256</v>
      </c>
      <c r="N125" s="986">
        <f t="shared" si="20"/>
        <v>-1.3441511618321864</v>
      </c>
      <c r="O125" s="986">
        <f t="shared" si="20"/>
        <v>-1.3979172083054738</v>
      </c>
      <c r="P125" s="986">
        <f t="shared" si="20"/>
        <v>-1.453833896637693</v>
      </c>
      <c r="Q125" s="986">
        <f t="shared" si="20"/>
        <v>-1.5119872525032005</v>
      </c>
      <c r="R125" s="986">
        <f t="shared" si="20"/>
        <v>-1.5724667426033287</v>
      </c>
      <c r="S125" s="986">
        <f t="shared" si="20"/>
        <v>-1.6353654123074621</v>
      </c>
      <c r="T125" s="986">
        <f t="shared" si="20"/>
        <v>-1.7007800287997605</v>
      </c>
      <c r="U125" s="986">
        <f t="shared" si="20"/>
        <v>-1.7688112299517509</v>
      </c>
      <c r="V125" s="986">
        <f t="shared" si="20"/>
        <v>-1.8395636791498213</v>
      </c>
      <c r="W125" s="987">
        <f t="shared" si="20"/>
        <v>-1.913146226315814</v>
      </c>
      <c r="X125" s="986">
        <f t="shared" si="20"/>
        <v>-1.9896720753684467</v>
      </c>
      <c r="Y125" s="986">
        <f t="shared" si="20"/>
        <v>-2.0692589583831844</v>
      </c>
      <c r="Z125" s="986">
        <f t="shared" si="20"/>
        <v>-2.152029316718512</v>
      </c>
      <c r="AA125" s="986">
        <f t="shared" si="20"/>
        <v>-2.2381104893872528</v>
      </c>
      <c r="AB125" s="986">
        <f t="shared" si="20"/>
        <v>-2.327634908962743</v>
      </c>
      <c r="AC125" s="986">
        <f t="shared" si="20"/>
        <v>-2.4207403053212526</v>
      </c>
      <c r="AD125" s="986">
        <f t="shared" si="20"/>
        <v>-2.517569917534103</v>
      </c>
      <c r="AE125" s="986">
        <f t="shared" si="20"/>
        <v>-2.618272714235468</v>
      </c>
      <c r="AF125" s="987">
        <f t="shared" si="20"/>
        <v>-2.723003622804886</v>
      </c>
    </row>
    <row r="126" spans="1:32" ht="13.5" thickBot="1">
      <c r="A126" s="991"/>
      <c r="B126" s="991"/>
      <c r="C126" s="992"/>
      <c r="D126" s="993"/>
      <c r="E126" s="994"/>
      <c r="F126" s="995"/>
      <c r="G126" s="993"/>
      <c r="H126" s="994"/>
      <c r="I126" s="994"/>
      <c r="J126" s="995"/>
      <c r="K126" s="993"/>
      <c r="L126" s="994"/>
      <c r="M126" s="994"/>
      <c r="N126" s="994"/>
      <c r="O126" s="994"/>
      <c r="P126" s="994"/>
      <c r="Q126" s="994"/>
      <c r="R126" s="994"/>
      <c r="S126" s="994"/>
      <c r="T126" s="994"/>
      <c r="U126" s="994"/>
      <c r="V126" s="994"/>
      <c r="W126" s="995"/>
      <c r="X126" s="994"/>
      <c r="Y126" s="994"/>
      <c r="Z126" s="994"/>
      <c r="AA126" s="994"/>
      <c r="AB126" s="994"/>
      <c r="AC126" s="994"/>
      <c r="AD126" s="994"/>
      <c r="AE126" s="994"/>
      <c r="AF126" s="995"/>
    </row>
    <row r="127" spans="1:32" ht="12.75">
      <c r="A127" s="939"/>
      <c r="B127" s="939"/>
      <c r="C127" s="996"/>
      <c r="D127" s="997"/>
      <c r="E127" s="998"/>
      <c r="F127" s="999"/>
      <c r="G127" s="1000"/>
      <c r="H127" s="1001"/>
      <c r="I127" s="1001"/>
      <c r="J127" s="1002"/>
      <c r="K127" s="1000"/>
      <c r="L127" s="1001"/>
      <c r="M127" s="1001"/>
      <c r="N127" s="1001"/>
      <c r="O127" s="1001"/>
      <c r="P127" s="1001"/>
      <c r="Q127" s="1001"/>
      <c r="R127" s="1001"/>
      <c r="S127" s="1001"/>
      <c r="T127" s="1001"/>
      <c r="U127" s="1001"/>
      <c r="V127" s="1001"/>
      <c r="W127" s="1002"/>
      <c r="X127" s="1001"/>
      <c r="Y127" s="1001"/>
      <c r="Z127" s="1001"/>
      <c r="AA127" s="1001"/>
      <c r="AB127" s="1001"/>
      <c r="AC127" s="1001"/>
      <c r="AD127" s="1001"/>
      <c r="AE127" s="1001"/>
      <c r="AF127" s="1002"/>
    </row>
    <row r="128" spans="1:32" ht="12.75">
      <c r="A128" s="939"/>
      <c r="B128" s="939"/>
      <c r="C128" s="974" t="s">
        <v>11</v>
      </c>
      <c r="D128" s="930"/>
      <c r="E128" s="931"/>
      <c r="F128" s="932"/>
      <c r="G128" s="910" t="s">
        <v>109</v>
      </c>
      <c r="H128" s="911"/>
      <c r="I128" s="911"/>
      <c r="J128" s="912"/>
      <c r="K128" s="944">
        <f aca="true" t="shared" si="21" ref="K128:AF128">K117+K120</f>
        <v>-0.5396542847255823</v>
      </c>
      <c r="L128" s="945">
        <f t="shared" si="21"/>
        <v>0.5815947438853968</v>
      </c>
      <c r="M128" s="945">
        <f t="shared" si="21"/>
        <v>1.7250633336408079</v>
      </c>
      <c r="N128" s="945">
        <f t="shared" si="21"/>
        <v>2.891640266986446</v>
      </c>
      <c r="O128" s="945">
        <f t="shared" si="21"/>
        <v>4.082249877665909</v>
      </c>
      <c r="P128" s="945">
        <f t="shared" si="21"/>
        <v>5.297853472772541</v>
      </c>
      <c r="Q128" s="945">
        <f t="shared" si="21"/>
        <v>6.539450811683441</v>
      </c>
      <c r="R128" s="945">
        <f t="shared" si="21"/>
        <v>7.808081644150782</v>
      </c>
      <c r="S128" s="945">
        <f t="shared" si="21"/>
        <v>9.104827309916818</v>
      </c>
      <c r="T128" s="945">
        <f t="shared" si="21"/>
        <v>10.430812402313489</v>
      </c>
      <c r="U128" s="945">
        <f t="shared" si="21"/>
        <v>11.787206498406029</v>
      </c>
      <c r="V128" s="945">
        <f t="shared" si="21"/>
        <v>13.17522595834227</v>
      </c>
      <c r="W128" s="946">
        <f t="shared" si="21"/>
        <v>14.59613579667596</v>
      </c>
      <c r="X128" s="945">
        <f t="shared" si="21"/>
        <v>23.12325162854301</v>
      </c>
      <c r="Y128" s="945">
        <f t="shared" si="21"/>
        <v>24.048181693684718</v>
      </c>
      <c r="Z128" s="945">
        <f t="shared" si="21"/>
        <v>25.01010896143212</v>
      </c>
      <c r="AA128" s="945">
        <f t="shared" si="21"/>
        <v>26.0105133198894</v>
      </c>
      <c r="AB128" s="945">
        <f t="shared" si="21"/>
        <v>27.050933852684977</v>
      </c>
      <c r="AC128" s="945">
        <f t="shared" si="21"/>
        <v>28.132971206792373</v>
      </c>
      <c r="AD128" s="945">
        <f t="shared" si="21"/>
        <v>29.258290055064077</v>
      </c>
      <c r="AE128" s="945">
        <f t="shared" si="21"/>
        <v>30.428621657266646</v>
      </c>
      <c r="AF128" s="945">
        <f t="shared" si="21"/>
        <v>31.645766523557313</v>
      </c>
    </row>
    <row r="129" spans="1:32" ht="12.75">
      <c r="A129" s="939"/>
      <c r="B129" s="939"/>
      <c r="C129" s="974"/>
      <c r="D129" s="930"/>
      <c r="E129" s="931"/>
      <c r="F129" s="932"/>
      <c r="G129" s="910"/>
      <c r="H129" s="911"/>
      <c r="I129" s="911"/>
      <c r="J129" s="912"/>
      <c r="K129" s="910"/>
      <c r="L129" s="911"/>
      <c r="M129" s="911"/>
      <c r="N129" s="911"/>
      <c r="O129" s="911"/>
      <c r="P129" s="911"/>
      <c r="Q129" s="911"/>
      <c r="R129" s="911"/>
      <c r="S129" s="911"/>
      <c r="T129" s="911"/>
      <c r="U129" s="911"/>
      <c r="V129" s="911"/>
      <c r="W129" s="912"/>
      <c r="X129" s="911"/>
      <c r="Y129" s="911"/>
      <c r="Z129" s="911"/>
      <c r="AA129" s="911"/>
      <c r="AB129" s="911"/>
      <c r="AC129" s="911"/>
      <c r="AD129" s="911"/>
      <c r="AE129" s="911"/>
      <c r="AF129" s="912"/>
    </row>
    <row r="130" spans="1:32" ht="12.75">
      <c r="A130" s="950"/>
      <c r="B130" s="939"/>
      <c r="C130" s="974" t="s">
        <v>12</v>
      </c>
      <c r="D130" s="930"/>
      <c r="E130" s="931"/>
      <c r="F130" s="932"/>
      <c r="G130" s="910"/>
      <c r="H130" s="911"/>
      <c r="I130" s="911"/>
      <c r="J130" s="912"/>
      <c r="K130" s="944"/>
      <c r="L130" s="945"/>
      <c r="M130" s="945"/>
      <c r="N130" s="945"/>
      <c r="O130" s="945"/>
      <c r="P130" s="945"/>
      <c r="Q130" s="945"/>
      <c r="R130" s="945"/>
      <c r="S130" s="945"/>
      <c r="T130" s="945"/>
      <c r="U130" s="945"/>
      <c r="V130" s="945"/>
      <c r="W130" s="946"/>
      <c r="X130" s="945"/>
      <c r="Y130" s="945"/>
      <c r="Z130" s="945"/>
      <c r="AA130" s="945"/>
      <c r="AB130" s="945"/>
      <c r="AC130" s="945"/>
      <c r="AD130" s="945"/>
      <c r="AE130" s="945"/>
      <c r="AF130" s="946"/>
    </row>
    <row r="131" spans="1:32" ht="12.75">
      <c r="A131" s="939"/>
      <c r="B131" s="939"/>
      <c r="C131" s="974"/>
      <c r="D131" s="930"/>
      <c r="E131" s="931"/>
      <c r="F131" s="932"/>
      <c r="G131" s="910"/>
      <c r="H131" s="911"/>
      <c r="I131" s="911"/>
      <c r="J131" s="912"/>
      <c r="K131" s="910"/>
      <c r="L131" s="911"/>
      <c r="M131" s="911"/>
      <c r="N131" s="911"/>
      <c r="O131" s="911"/>
      <c r="P131" s="911"/>
      <c r="Q131" s="911"/>
      <c r="R131" s="911"/>
      <c r="S131" s="911"/>
      <c r="T131" s="911"/>
      <c r="U131" s="911"/>
      <c r="V131" s="911"/>
      <c r="W131" s="912"/>
      <c r="X131" s="911"/>
      <c r="Y131" s="911"/>
      <c r="Z131" s="911"/>
      <c r="AA131" s="911"/>
      <c r="AB131" s="911"/>
      <c r="AC131" s="911"/>
      <c r="AD131" s="911"/>
      <c r="AE131" s="911"/>
      <c r="AF131" s="912"/>
    </row>
    <row r="132" spans="1:32" ht="12.75">
      <c r="A132" s="939"/>
      <c r="B132" s="939"/>
      <c r="C132" s="1003" t="s">
        <v>65</v>
      </c>
      <c r="D132" s="941"/>
      <c r="E132" s="942"/>
      <c r="F132" s="943"/>
      <c r="G132" s="944">
        <f>G110+G102</f>
        <v>9.568000000000005</v>
      </c>
      <c r="H132" s="945">
        <f>H110+H102</f>
        <v>9.432000000000002</v>
      </c>
      <c r="I132" s="945">
        <f>I110+I102</f>
        <v>-15</v>
      </c>
      <c r="J132" s="946">
        <f>J110+J102</f>
        <v>-4</v>
      </c>
      <c r="K132" s="944">
        <f>K128+K130</f>
        <v>-0.5396542847255823</v>
      </c>
      <c r="L132" s="945">
        <f aca="true" t="shared" si="22" ref="L132:AF132">L128+L130</f>
        <v>0.5815947438853968</v>
      </c>
      <c r="M132" s="945">
        <f t="shared" si="22"/>
        <v>1.7250633336408079</v>
      </c>
      <c r="N132" s="945">
        <f t="shared" si="22"/>
        <v>2.891640266986446</v>
      </c>
      <c r="O132" s="945">
        <f t="shared" si="22"/>
        <v>4.082249877665909</v>
      </c>
      <c r="P132" s="945">
        <f t="shared" si="22"/>
        <v>5.297853472772541</v>
      </c>
      <c r="Q132" s="945">
        <f t="shared" si="22"/>
        <v>6.539450811683441</v>
      </c>
      <c r="R132" s="945">
        <f t="shared" si="22"/>
        <v>7.808081644150782</v>
      </c>
      <c r="S132" s="945">
        <f t="shared" si="22"/>
        <v>9.104827309916818</v>
      </c>
      <c r="T132" s="945">
        <f t="shared" si="22"/>
        <v>10.430812402313489</v>
      </c>
      <c r="U132" s="945">
        <f t="shared" si="22"/>
        <v>11.787206498406029</v>
      </c>
      <c r="V132" s="945">
        <f t="shared" si="22"/>
        <v>13.17522595834227</v>
      </c>
      <c r="W132" s="946">
        <f t="shared" si="22"/>
        <v>14.59613579667596</v>
      </c>
      <c r="X132" s="945">
        <f t="shared" si="22"/>
        <v>23.12325162854301</v>
      </c>
      <c r="Y132" s="945">
        <f t="shared" si="22"/>
        <v>24.048181693684718</v>
      </c>
      <c r="Z132" s="945">
        <f t="shared" si="22"/>
        <v>25.01010896143212</v>
      </c>
      <c r="AA132" s="945">
        <f t="shared" si="22"/>
        <v>26.0105133198894</v>
      </c>
      <c r="AB132" s="945">
        <f t="shared" si="22"/>
        <v>27.050933852684977</v>
      </c>
      <c r="AC132" s="945">
        <f t="shared" si="22"/>
        <v>28.132971206792373</v>
      </c>
      <c r="AD132" s="945">
        <f t="shared" si="22"/>
        <v>29.258290055064077</v>
      </c>
      <c r="AE132" s="945">
        <f t="shared" si="22"/>
        <v>30.428621657266646</v>
      </c>
      <c r="AF132" s="946">
        <f t="shared" si="22"/>
        <v>31.645766523557313</v>
      </c>
    </row>
    <row r="133" spans="1:32" ht="12.75">
      <c r="A133" s="939"/>
      <c r="B133" s="939"/>
      <c r="C133" s="974" t="s">
        <v>60</v>
      </c>
      <c r="D133" s="930"/>
      <c r="E133" s="931"/>
      <c r="F133" s="932"/>
      <c r="G133" s="944">
        <f>G132</f>
        <v>9.568000000000005</v>
      </c>
      <c r="H133" s="945">
        <f aca="true" t="shared" si="23" ref="H133:AF133">G133+H132</f>
        <v>19.000000000000007</v>
      </c>
      <c r="I133" s="945">
        <f t="shared" si="23"/>
        <v>4.000000000000007</v>
      </c>
      <c r="J133" s="946">
        <f t="shared" si="23"/>
        <v>7.105427357601002E-15</v>
      </c>
      <c r="K133" s="944">
        <f t="shared" si="23"/>
        <v>-0.5396542847255752</v>
      </c>
      <c r="L133" s="945">
        <f t="shared" si="23"/>
        <v>0.041940459159821586</v>
      </c>
      <c r="M133" s="945">
        <f t="shared" si="23"/>
        <v>1.7670037928006295</v>
      </c>
      <c r="N133" s="945">
        <f t="shared" si="23"/>
        <v>4.6586440597870755</v>
      </c>
      <c r="O133" s="945">
        <f t="shared" si="23"/>
        <v>8.740893937452984</v>
      </c>
      <c r="P133" s="945">
        <f t="shared" si="23"/>
        <v>14.038747410225525</v>
      </c>
      <c r="Q133" s="945">
        <f t="shared" si="23"/>
        <v>20.578198221908966</v>
      </c>
      <c r="R133" s="945">
        <f t="shared" si="23"/>
        <v>28.38627986605975</v>
      </c>
      <c r="S133" s="945">
        <f t="shared" si="23"/>
        <v>37.491107175976566</v>
      </c>
      <c r="T133" s="945">
        <f t="shared" si="23"/>
        <v>47.92191957829006</v>
      </c>
      <c r="U133" s="945">
        <f t="shared" si="23"/>
        <v>59.70912607669609</v>
      </c>
      <c r="V133" s="945">
        <f t="shared" si="23"/>
        <v>72.88435203503836</v>
      </c>
      <c r="W133" s="946">
        <f t="shared" si="23"/>
        <v>87.48048783171433</v>
      </c>
      <c r="X133" s="945">
        <f t="shared" si="23"/>
        <v>110.60373946025734</v>
      </c>
      <c r="Y133" s="945">
        <f t="shared" si="23"/>
        <v>134.65192115394206</v>
      </c>
      <c r="Z133" s="945">
        <f t="shared" si="23"/>
        <v>159.66203011537417</v>
      </c>
      <c r="AA133" s="945">
        <f t="shared" si="23"/>
        <v>185.67254343526358</v>
      </c>
      <c r="AB133" s="945">
        <f t="shared" si="23"/>
        <v>212.72347728794855</v>
      </c>
      <c r="AC133" s="945">
        <f t="shared" si="23"/>
        <v>240.85644849474093</v>
      </c>
      <c r="AD133" s="945">
        <f t="shared" si="23"/>
        <v>270.114738549805</v>
      </c>
      <c r="AE133" s="945">
        <f t="shared" si="23"/>
        <v>300.54336020707166</v>
      </c>
      <c r="AF133" s="946">
        <f t="shared" si="23"/>
        <v>332.18912673062897</v>
      </c>
    </row>
    <row r="134" spans="1:32" ht="12.75">
      <c r="A134" s="939"/>
      <c r="B134" s="939"/>
      <c r="C134" s="974"/>
      <c r="D134" s="930"/>
      <c r="E134" s="931"/>
      <c r="F134" s="932"/>
      <c r="G134" s="910"/>
      <c r="H134" s="911"/>
      <c r="I134" s="911"/>
      <c r="J134" s="912"/>
      <c r="K134" s="910"/>
      <c r="L134" s="911"/>
      <c r="M134" s="911"/>
      <c r="N134" s="911"/>
      <c r="O134" s="911"/>
      <c r="P134" s="911"/>
      <c r="Q134" s="911"/>
      <c r="R134" s="911"/>
      <c r="S134" s="911"/>
      <c r="T134" s="911"/>
      <c r="U134" s="911"/>
      <c r="V134" s="911"/>
      <c r="W134" s="912"/>
      <c r="X134" s="911"/>
      <c r="Y134" s="911"/>
      <c r="Z134" s="911"/>
      <c r="AA134" s="911"/>
      <c r="AB134" s="911"/>
      <c r="AC134" s="911"/>
      <c r="AD134" s="911"/>
      <c r="AE134" s="911"/>
      <c r="AF134" s="912"/>
    </row>
    <row r="135" spans="1:32" ht="12.75">
      <c r="A135" s="939"/>
      <c r="B135" s="939"/>
      <c r="C135" s="974" t="s">
        <v>15</v>
      </c>
      <c r="D135" s="930"/>
      <c r="E135" s="931"/>
      <c r="F135" s="932"/>
      <c r="G135" s="910"/>
      <c r="H135" s="911"/>
      <c r="I135" s="911"/>
      <c r="J135" s="912"/>
      <c r="K135" s="923"/>
      <c r="L135" s="924"/>
      <c r="M135" s="924"/>
      <c r="N135" s="924"/>
      <c r="O135" s="924"/>
      <c r="P135" s="924"/>
      <c r="Q135" s="924"/>
      <c r="R135" s="924"/>
      <c r="S135" s="924"/>
      <c r="T135" s="924"/>
      <c r="U135" s="924"/>
      <c r="V135" s="924"/>
      <c r="W135" s="925"/>
      <c r="X135" s="924"/>
      <c r="Y135" s="924"/>
      <c r="Z135" s="924"/>
      <c r="AA135" s="924"/>
      <c r="AB135" s="924"/>
      <c r="AC135" s="924"/>
      <c r="AD135" s="924"/>
      <c r="AE135" s="924"/>
      <c r="AF135" s="925"/>
    </row>
    <row r="136" spans="1:32" ht="12.75">
      <c r="A136" s="939"/>
      <c r="B136" s="939"/>
      <c r="C136" s="1004" t="s">
        <v>98</v>
      </c>
      <c r="D136" s="941">
        <f>SUM(G136:AF136)</f>
        <v>475.60928673062904</v>
      </c>
      <c r="E136" s="942">
        <f>SUM(G136:J136)</f>
        <v>0</v>
      </c>
      <c r="F136" s="943">
        <f>SUM(K136:AF136)</f>
        <v>475.60928673062904</v>
      </c>
      <c r="G136" s="910"/>
      <c r="H136" s="911"/>
      <c r="I136" s="911"/>
      <c r="J136" s="912"/>
      <c r="K136" s="944">
        <f aca="true" t="shared" si="24" ref="K136:AF136">K117+K124+K125+K123</f>
        <v>13.887225715274417</v>
      </c>
      <c r="L136" s="945">
        <f t="shared" si="24"/>
        <v>14.442714743885396</v>
      </c>
      <c r="M136" s="945">
        <f t="shared" si="24"/>
        <v>15.02042333364081</v>
      </c>
      <c r="N136" s="945">
        <f t="shared" si="24"/>
        <v>15.621240266986451</v>
      </c>
      <c r="O136" s="945">
        <f t="shared" si="24"/>
        <v>16.24608987766591</v>
      </c>
      <c r="P136" s="945">
        <f t="shared" si="24"/>
        <v>16.895933472772544</v>
      </c>
      <c r="Q136" s="945">
        <f t="shared" si="24"/>
        <v>17.57177081168344</v>
      </c>
      <c r="R136" s="945">
        <f t="shared" si="24"/>
        <v>18.274641644150783</v>
      </c>
      <c r="S136" s="945">
        <f t="shared" si="24"/>
        <v>19.005627309916814</v>
      </c>
      <c r="T136" s="945">
        <f t="shared" si="24"/>
        <v>19.76585240231349</v>
      </c>
      <c r="U136" s="945">
        <f t="shared" si="24"/>
        <v>20.556486498406027</v>
      </c>
      <c r="V136" s="945">
        <f t="shared" si="24"/>
        <v>21.37874595834227</v>
      </c>
      <c r="W136" s="946">
        <f t="shared" si="24"/>
        <v>22.23389579667596</v>
      </c>
      <c r="X136" s="945">
        <f t="shared" si="24"/>
        <v>23.12325162854301</v>
      </c>
      <c r="Y136" s="945">
        <f t="shared" si="24"/>
        <v>24.048181693684718</v>
      </c>
      <c r="Z136" s="945">
        <f t="shared" si="24"/>
        <v>25.01010896143212</v>
      </c>
      <c r="AA136" s="945">
        <f t="shared" si="24"/>
        <v>26.0105133198894</v>
      </c>
      <c r="AB136" s="945">
        <f t="shared" si="24"/>
        <v>27.050933852684977</v>
      </c>
      <c r="AC136" s="945">
        <f t="shared" si="24"/>
        <v>28.132971206792373</v>
      </c>
      <c r="AD136" s="945">
        <f t="shared" si="24"/>
        <v>29.258290055064073</v>
      </c>
      <c r="AE136" s="945">
        <f t="shared" si="24"/>
        <v>30.428621657266646</v>
      </c>
      <c r="AF136" s="945">
        <f t="shared" si="24"/>
        <v>31.64576652355731</v>
      </c>
    </row>
    <row r="137" spans="1:32" ht="12.75">
      <c r="A137" s="939"/>
      <c r="B137" s="939"/>
      <c r="C137" s="1004" t="s">
        <v>61</v>
      </c>
      <c r="D137" s="941">
        <f>SUM(G137:AF137)</f>
        <v>332.18912673062897</v>
      </c>
      <c r="E137" s="942">
        <f>SUM(G137:J137)</f>
        <v>0</v>
      </c>
      <c r="F137" s="943">
        <f>SUM(K137:AF137)</f>
        <v>332.18912673062897</v>
      </c>
      <c r="G137" s="910"/>
      <c r="H137" s="911"/>
      <c r="I137" s="911"/>
      <c r="J137" s="912"/>
      <c r="K137" s="944">
        <f aca="true" t="shared" si="25" ref="K137:AF137">K136+K121+K122</f>
        <v>-0.539654284725585</v>
      </c>
      <c r="L137" s="945">
        <f t="shared" si="25"/>
        <v>0.581594743885395</v>
      </c>
      <c r="M137" s="945">
        <f t="shared" si="25"/>
        <v>1.7250633336408088</v>
      </c>
      <c r="N137" s="945">
        <f t="shared" si="25"/>
        <v>2.8916402669864496</v>
      </c>
      <c r="O137" s="945">
        <f t="shared" si="25"/>
        <v>4.082249877665908</v>
      </c>
      <c r="P137" s="945">
        <f t="shared" si="25"/>
        <v>5.297853472772543</v>
      </c>
      <c r="Q137" s="945">
        <f t="shared" si="25"/>
        <v>6.539450811683439</v>
      </c>
      <c r="R137" s="945">
        <f t="shared" si="25"/>
        <v>7.808081644150782</v>
      </c>
      <c r="S137" s="945">
        <f t="shared" si="25"/>
        <v>9.104827309916814</v>
      </c>
      <c r="T137" s="945">
        <f t="shared" si="25"/>
        <v>10.430812402313492</v>
      </c>
      <c r="U137" s="945">
        <f t="shared" si="25"/>
        <v>11.787206498406027</v>
      </c>
      <c r="V137" s="945">
        <f t="shared" si="25"/>
        <v>13.17522595834227</v>
      </c>
      <c r="W137" s="946">
        <f t="shared" si="25"/>
        <v>14.59613579667596</v>
      </c>
      <c r="X137" s="945">
        <f t="shared" si="25"/>
        <v>23.12325162854301</v>
      </c>
      <c r="Y137" s="945">
        <f t="shared" si="25"/>
        <v>24.048181693684718</v>
      </c>
      <c r="Z137" s="945">
        <f t="shared" si="25"/>
        <v>25.01010896143212</v>
      </c>
      <c r="AA137" s="945">
        <f t="shared" si="25"/>
        <v>26.0105133198894</v>
      </c>
      <c r="AB137" s="945">
        <f t="shared" si="25"/>
        <v>27.050933852684977</v>
      </c>
      <c r="AC137" s="945">
        <f t="shared" si="25"/>
        <v>28.132971206792373</v>
      </c>
      <c r="AD137" s="945">
        <f t="shared" si="25"/>
        <v>29.258290055064073</v>
      </c>
      <c r="AE137" s="945">
        <f t="shared" si="25"/>
        <v>30.428621657266646</v>
      </c>
      <c r="AF137" s="946">
        <f t="shared" si="25"/>
        <v>31.64576652355731</v>
      </c>
    </row>
    <row r="138" spans="1:32" ht="12.75">
      <c r="A138" s="939"/>
      <c r="B138" s="939"/>
      <c r="C138" s="1004" t="s">
        <v>62</v>
      </c>
      <c r="D138" s="941">
        <f>SUM(G138:AF138)</f>
        <v>332.18912673062897</v>
      </c>
      <c r="E138" s="942">
        <f>SUM(G138:J138)</f>
        <v>0</v>
      </c>
      <c r="F138" s="943">
        <f>SUM(K138:AF138)</f>
        <v>332.18912673062897</v>
      </c>
      <c r="G138" s="910"/>
      <c r="H138" s="911"/>
      <c r="I138" s="911"/>
      <c r="J138" s="912"/>
      <c r="K138" s="944">
        <f>K137+K130</f>
        <v>-0.539654284725585</v>
      </c>
      <c r="L138" s="945">
        <f aca="true" t="shared" si="26" ref="L138:AF138">L137+L130</f>
        <v>0.581594743885395</v>
      </c>
      <c r="M138" s="945">
        <f t="shared" si="26"/>
        <v>1.7250633336408088</v>
      </c>
      <c r="N138" s="945">
        <f t="shared" si="26"/>
        <v>2.8916402669864496</v>
      </c>
      <c r="O138" s="945">
        <f t="shared" si="26"/>
        <v>4.082249877665908</v>
      </c>
      <c r="P138" s="945">
        <f t="shared" si="26"/>
        <v>5.297853472772543</v>
      </c>
      <c r="Q138" s="945">
        <f t="shared" si="26"/>
        <v>6.539450811683439</v>
      </c>
      <c r="R138" s="945">
        <f t="shared" si="26"/>
        <v>7.808081644150782</v>
      </c>
      <c r="S138" s="945">
        <f t="shared" si="26"/>
        <v>9.104827309916814</v>
      </c>
      <c r="T138" s="945">
        <f t="shared" si="26"/>
        <v>10.430812402313492</v>
      </c>
      <c r="U138" s="945">
        <f t="shared" si="26"/>
        <v>11.787206498406027</v>
      </c>
      <c r="V138" s="945">
        <f t="shared" si="26"/>
        <v>13.17522595834227</v>
      </c>
      <c r="W138" s="946">
        <f t="shared" si="26"/>
        <v>14.59613579667596</v>
      </c>
      <c r="X138" s="945">
        <f t="shared" si="26"/>
        <v>23.12325162854301</v>
      </c>
      <c r="Y138" s="945">
        <f t="shared" si="26"/>
        <v>24.048181693684718</v>
      </c>
      <c r="Z138" s="945">
        <f t="shared" si="26"/>
        <v>25.01010896143212</v>
      </c>
      <c r="AA138" s="945">
        <f t="shared" si="26"/>
        <v>26.0105133198894</v>
      </c>
      <c r="AB138" s="945">
        <f t="shared" si="26"/>
        <v>27.050933852684977</v>
      </c>
      <c r="AC138" s="945">
        <f t="shared" si="26"/>
        <v>28.132971206792373</v>
      </c>
      <c r="AD138" s="945">
        <f t="shared" si="26"/>
        <v>29.258290055064073</v>
      </c>
      <c r="AE138" s="945">
        <f t="shared" si="26"/>
        <v>30.428621657266646</v>
      </c>
      <c r="AF138" s="946">
        <f t="shared" si="26"/>
        <v>31.64576652355731</v>
      </c>
    </row>
    <row r="139" spans="1:32" ht="13.5" thickBot="1">
      <c r="A139" s="991"/>
      <c r="B139" s="991"/>
      <c r="C139" s="1005"/>
      <c r="D139" s="1006"/>
      <c r="E139" s="1007"/>
      <c r="F139" s="1008"/>
      <c r="G139" s="890"/>
      <c r="H139" s="891"/>
      <c r="I139" s="891"/>
      <c r="J139" s="838"/>
      <c r="K139" s="883"/>
      <c r="L139" s="884"/>
      <c r="M139" s="884"/>
      <c r="N139" s="884"/>
      <c r="O139" s="884"/>
      <c r="P139" s="884"/>
      <c r="Q139" s="884"/>
      <c r="R139" s="884"/>
      <c r="S139" s="884"/>
      <c r="T139" s="884"/>
      <c r="U139" s="884"/>
      <c r="V139" s="884"/>
      <c r="W139" s="885"/>
      <c r="X139" s="884"/>
      <c r="Y139" s="884"/>
      <c r="Z139" s="884"/>
      <c r="AA139" s="884"/>
      <c r="AB139" s="884"/>
      <c r="AC139" s="884"/>
      <c r="AD139" s="884"/>
      <c r="AE139" s="884"/>
      <c r="AF139" s="885"/>
    </row>
    <row r="140" spans="1:32" ht="12.75">
      <c r="A140" s="869"/>
      <c r="B140" s="739"/>
      <c r="C140" s="1009"/>
      <c r="D140" s="1010"/>
      <c r="E140" s="1011"/>
      <c r="F140" s="1012"/>
      <c r="G140" s="898"/>
      <c r="H140" s="899"/>
      <c r="I140" s="899"/>
      <c r="J140" s="840"/>
      <c r="K140" s="1013"/>
      <c r="L140" s="1014"/>
      <c r="M140" s="1014"/>
      <c r="N140" s="1014"/>
      <c r="O140" s="1014"/>
      <c r="P140" s="1014"/>
      <c r="Q140" s="1014"/>
      <c r="R140" s="1014"/>
      <c r="S140" s="1014"/>
      <c r="T140" s="1014"/>
      <c r="U140" s="1014"/>
      <c r="V140" s="1014"/>
      <c r="W140" s="1015"/>
      <c r="X140" s="1014"/>
      <c r="Y140" s="1014"/>
      <c r="Z140" s="1014"/>
      <c r="AA140" s="1014"/>
      <c r="AB140" s="1014"/>
      <c r="AC140" s="1014"/>
      <c r="AD140" s="1014"/>
      <c r="AE140" s="1014"/>
      <c r="AF140" s="1015"/>
    </row>
    <row r="141" spans="1:32" ht="12.75">
      <c r="A141" s="1016"/>
      <c r="B141" s="833"/>
      <c r="C141" s="1017" t="s">
        <v>13</v>
      </c>
      <c r="D141" s="930">
        <f>SUM(G141:AF141)</f>
        <v>307.1891267306289</v>
      </c>
      <c r="E141" s="931">
        <f>SUM(G141:J141)</f>
        <v>-25</v>
      </c>
      <c r="F141" s="932">
        <f>SUM(K141:AF141)</f>
        <v>332.18912673062897</v>
      </c>
      <c r="G141" s="978">
        <f>-G112</f>
        <v>0</v>
      </c>
      <c r="H141" s="979">
        <f>-H112</f>
        <v>0</v>
      </c>
      <c r="I141" s="979">
        <f>-I112</f>
        <v>-12.5</v>
      </c>
      <c r="J141" s="980">
        <f>-J112</f>
        <v>-12.5</v>
      </c>
      <c r="K141" s="1018">
        <f>K138</f>
        <v>-0.539654284725585</v>
      </c>
      <c r="L141" s="1019">
        <f aca="true" t="shared" si="27" ref="L141:AF141">L138</f>
        <v>0.581594743885395</v>
      </c>
      <c r="M141" s="1019">
        <f t="shared" si="27"/>
        <v>1.7250633336408088</v>
      </c>
      <c r="N141" s="1019">
        <f t="shared" si="27"/>
        <v>2.8916402669864496</v>
      </c>
      <c r="O141" s="1019">
        <f t="shared" si="27"/>
        <v>4.082249877665908</v>
      </c>
      <c r="P141" s="1019">
        <f t="shared" si="27"/>
        <v>5.297853472772543</v>
      </c>
      <c r="Q141" s="1019">
        <f t="shared" si="27"/>
        <v>6.539450811683439</v>
      </c>
      <c r="R141" s="1019">
        <f t="shared" si="27"/>
        <v>7.808081644150782</v>
      </c>
      <c r="S141" s="1019">
        <f t="shared" si="27"/>
        <v>9.104827309916814</v>
      </c>
      <c r="T141" s="1019">
        <f t="shared" si="27"/>
        <v>10.430812402313492</v>
      </c>
      <c r="U141" s="1019">
        <f t="shared" si="27"/>
        <v>11.787206498406027</v>
      </c>
      <c r="V141" s="1019">
        <f t="shared" si="27"/>
        <v>13.17522595834227</v>
      </c>
      <c r="W141" s="1020">
        <f t="shared" si="27"/>
        <v>14.59613579667596</v>
      </c>
      <c r="X141" s="1019">
        <f t="shared" si="27"/>
        <v>23.12325162854301</v>
      </c>
      <c r="Y141" s="1019">
        <f t="shared" si="27"/>
        <v>24.048181693684718</v>
      </c>
      <c r="Z141" s="1019">
        <f t="shared" si="27"/>
        <v>25.01010896143212</v>
      </c>
      <c r="AA141" s="1019">
        <f t="shared" si="27"/>
        <v>26.0105133198894</v>
      </c>
      <c r="AB141" s="1019">
        <f t="shared" si="27"/>
        <v>27.050933852684977</v>
      </c>
      <c r="AC141" s="1019">
        <f t="shared" si="27"/>
        <v>28.132971206792373</v>
      </c>
      <c r="AD141" s="1019">
        <f t="shared" si="27"/>
        <v>29.258290055064073</v>
      </c>
      <c r="AE141" s="1019">
        <f t="shared" si="27"/>
        <v>30.428621657266646</v>
      </c>
      <c r="AF141" s="1020">
        <f t="shared" si="27"/>
        <v>31.64576652355731</v>
      </c>
    </row>
    <row r="142" spans="1:32" ht="12.75">
      <c r="A142" s="880"/>
      <c r="B142" s="766"/>
      <c r="C142" s="1021"/>
      <c r="D142" s="1022"/>
      <c r="E142" s="1023"/>
      <c r="F142" s="1024"/>
      <c r="G142" s="1025"/>
      <c r="H142" s="802"/>
      <c r="I142" s="802"/>
      <c r="J142" s="848"/>
      <c r="K142" s="1026"/>
      <c r="L142" s="1027"/>
      <c r="M142" s="1027"/>
      <c r="N142" s="1027"/>
      <c r="O142" s="1027"/>
      <c r="P142" s="1027"/>
      <c r="Q142" s="1027"/>
      <c r="R142" s="1027"/>
      <c r="S142" s="1027"/>
      <c r="T142" s="1027"/>
      <c r="U142" s="1027"/>
      <c r="V142" s="1027"/>
      <c r="W142" s="1028"/>
      <c r="X142" s="1027"/>
      <c r="Y142" s="1027"/>
      <c r="Z142" s="1027"/>
      <c r="AA142" s="1027"/>
      <c r="AB142" s="1027"/>
      <c r="AC142" s="1027"/>
      <c r="AD142" s="1027"/>
      <c r="AE142" s="1027"/>
      <c r="AF142" s="1028"/>
    </row>
    <row r="143" spans="1:32" ht="12.75">
      <c r="A143" s="1029"/>
      <c r="B143" s="794"/>
      <c r="C143" s="1030" t="s">
        <v>36</v>
      </c>
      <c r="D143" s="1031">
        <f>IRR(G141:AF141)</f>
        <v>0.1983854867980519</v>
      </c>
      <c r="E143" s="1032"/>
      <c r="F143" s="1033"/>
      <c r="G143" s="1034" t="s">
        <v>109</v>
      </c>
      <c r="H143" s="1035" t="s">
        <v>109</v>
      </c>
      <c r="I143" s="1035" t="s">
        <v>109</v>
      </c>
      <c r="J143" s="1036" t="s">
        <v>109</v>
      </c>
      <c r="K143" s="1035"/>
      <c r="L143" s="1035"/>
      <c r="M143" s="1035"/>
      <c r="N143" s="1035"/>
      <c r="O143" s="1035"/>
      <c r="P143" s="1035"/>
      <c r="Q143" s="1035"/>
      <c r="R143" s="1035"/>
      <c r="S143" s="1035"/>
      <c r="T143" s="1035"/>
      <c r="U143" s="1035"/>
      <c r="V143" s="1035"/>
      <c r="W143" s="1036"/>
      <c r="X143" s="1035"/>
      <c r="Y143" s="1035"/>
      <c r="Z143" s="1035"/>
      <c r="AA143" s="1035"/>
      <c r="AB143" s="1035"/>
      <c r="AC143" s="1035"/>
      <c r="AD143" s="1035"/>
      <c r="AE143" s="1035"/>
      <c r="AF143" s="1036"/>
    </row>
    <row r="144" spans="1:32" ht="12.75">
      <c r="A144" s="1029"/>
      <c r="B144" s="794"/>
      <c r="C144" s="1030"/>
      <c r="D144" s="1037"/>
      <c r="E144" s="1032"/>
      <c r="F144" s="1033"/>
      <c r="G144" s="1034"/>
      <c r="H144" s="1035"/>
      <c r="I144" s="1035"/>
      <c r="J144" s="1036"/>
      <c r="K144" s="1034"/>
      <c r="L144" s="1035"/>
      <c r="M144" s="1035"/>
      <c r="N144" s="1035"/>
      <c r="O144" s="1035"/>
      <c r="P144" s="1035"/>
      <c r="Q144" s="1035"/>
      <c r="R144" s="1035"/>
      <c r="S144" s="1035"/>
      <c r="T144" s="1035"/>
      <c r="U144" s="1035"/>
      <c r="V144" s="1035"/>
      <c r="W144" s="1036"/>
      <c r="X144" s="1035"/>
      <c r="Y144" s="1035"/>
      <c r="Z144" s="1035"/>
      <c r="AA144" s="1035"/>
      <c r="AB144" s="1035"/>
      <c r="AC144" s="1035"/>
      <c r="AD144" s="1035"/>
      <c r="AE144" s="1035"/>
      <c r="AF144" s="1036"/>
    </row>
    <row r="145" spans="1:32" ht="12.75">
      <c r="A145" s="880"/>
      <c r="B145" s="766"/>
      <c r="C145" s="1021" t="s">
        <v>14</v>
      </c>
      <c r="D145" s="1038">
        <f>AVERAGE(K145:V145)</f>
        <v>-1.6233158833366026</v>
      </c>
      <c r="E145" s="1039"/>
      <c r="F145" s="1024"/>
      <c r="G145" s="1025"/>
      <c r="H145" s="802"/>
      <c r="I145" s="802"/>
      <c r="J145" s="848"/>
      <c r="K145" s="1040">
        <f aca="true" t="shared" si="28" ref="K145:W145">K136/(K121+K122)</f>
        <v>-0.9625938328505135</v>
      </c>
      <c r="L145" s="1041">
        <f t="shared" si="28"/>
        <v>-1.0419587121304335</v>
      </c>
      <c r="M145" s="1041">
        <f t="shared" si="28"/>
        <v>-1.1297492759609975</v>
      </c>
      <c r="N145" s="1041">
        <f t="shared" si="28"/>
        <v>-1.227158769088302</v>
      </c>
      <c r="O145" s="1041">
        <f t="shared" si="28"/>
        <v>-1.3356053579844775</v>
      </c>
      <c r="P145" s="1041">
        <f t="shared" si="28"/>
        <v>-1.4567871124162397</v>
      </c>
      <c r="Q145" s="1041">
        <f t="shared" si="28"/>
        <v>-1.5927539095750884</v>
      </c>
      <c r="R145" s="1041">
        <f t="shared" si="28"/>
        <v>-1.7460026641179893</v>
      </c>
      <c r="S145" s="1041">
        <f t="shared" si="28"/>
        <v>-1.9196052147217209</v>
      </c>
      <c r="T145" s="1041">
        <f t="shared" si="28"/>
        <v>-2.1173827216930503</v>
      </c>
      <c r="U145" s="1041">
        <f t="shared" si="28"/>
        <v>-2.344147580919531</v>
      </c>
      <c r="V145" s="1041">
        <f t="shared" si="28"/>
        <v>-2.6060454485808857</v>
      </c>
      <c r="W145" s="1042">
        <f t="shared" si="28"/>
        <v>-2.911049286266649</v>
      </c>
      <c r="X145" s="1041"/>
      <c r="Y145" s="1041"/>
      <c r="Z145" s="1041"/>
      <c r="AA145" s="1041"/>
      <c r="AB145" s="1041"/>
      <c r="AC145" s="1041"/>
      <c r="AD145" s="1041"/>
      <c r="AE145" s="1041"/>
      <c r="AF145" s="1042"/>
    </row>
    <row r="146" spans="1:32" ht="13.5" thickBot="1">
      <c r="A146" s="909"/>
      <c r="B146" s="1043"/>
      <c r="C146" s="1044" t="s">
        <v>63</v>
      </c>
      <c r="D146" s="1045">
        <f>MIN(K146:AF146)</f>
        <v>12</v>
      </c>
      <c r="E146" s="1046"/>
      <c r="F146" s="1047"/>
      <c r="G146" s="1048"/>
      <c r="H146" s="1049"/>
      <c r="I146" s="1049"/>
      <c r="J146" s="1050"/>
      <c r="K146" s="1048">
        <f>IF(SUM($I$141:K141)&gt;=0,K95,"")</f>
      </c>
      <c r="L146" s="1049">
        <f>IF(SUM($I$141:L141)&gt;=0,L95,"")</f>
      </c>
      <c r="M146" s="1049">
        <f>IF(SUM($I$141:M141)&gt;=0,M95,"")</f>
      </c>
      <c r="N146" s="1049">
        <f>IF(SUM($I$141:N141)&gt;=0,N95,"")</f>
      </c>
      <c r="O146" s="1049">
        <f>IF(SUM($I$141:O141)&gt;=0,O95,"")</f>
      </c>
      <c r="P146" s="1049">
        <f>IF(SUM($I$141:P141)&gt;=0,P95,"")</f>
      </c>
      <c r="Q146" s="1049">
        <f>IF(SUM($I$141:Q141)&gt;=0,Q95,"")</f>
      </c>
      <c r="R146" s="1049">
        <f>IF(SUM($I$141:R141)&gt;=0,R95,"")</f>
        <v>12</v>
      </c>
      <c r="S146" s="1049">
        <f>IF(SUM($I$141:S141)&gt;=0,S95,"")</f>
        <v>13</v>
      </c>
      <c r="T146" s="1049">
        <f>IF(SUM($I$141:T141)&gt;=0,T95,"")</f>
        <v>14</v>
      </c>
      <c r="U146" s="1049">
        <f>IF(SUM($I$141:U141)&gt;=0,U95,"")</f>
        <v>15</v>
      </c>
      <c r="V146" s="1049">
        <f>IF(SUM($I$141:V141)&gt;=0,V95,"")</f>
        <v>16</v>
      </c>
      <c r="W146" s="1050">
        <f>IF(SUM($I$141:W141)&gt;=0,W95,"")</f>
        <v>17</v>
      </c>
      <c r="X146" s="1049">
        <f>IF(SUM($I$141:X141)&gt;=0,X95,"")</f>
        <v>18</v>
      </c>
      <c r="Y146" s="1049">
        <f>IF(SUM($I$141:Y141)&gt;=0,Y95,"")</f>
        <v>19</v>
      </c>
      <c r="Z146" s="1049">
        <f>IF(SUM($I$141:Z141)&gt;=0,Z95,"")</f>
        <v>20</v>
      </c>
      <c r="AA146" s="1049">
        <f>IF(SUM($I$141:AA141)&gt;=0,AA95,"")</f>
        <v>21</v>
      </c>
      <c r="AB146" s="1049">
        <f>IF(SUM($I$141:AB141)&gt;=0,AB95,"")</f>
        <v>22</v>
      </c>
      <c r="AC146" s="1049">
        <f>IF(SUM($I$141:AC141)&gt;=0,AC95,"")</f>
        <v>23</v>
      </c>
      <c r="AD146" s="1049">
        <f>IF(SUM($I$141:AD141)&gt;=0,AD95,"")</f>
        <v>24</v>
      </c>
      <c r="AE146" s="1049">
        <f>IF(SUM($I$141:AE141)&gt;=0,AE95,"")</f>
        <v>25</v>
      </c>
      <c r="AF146" s="1050">
        <f>IF(SUM($I$141:AF141)&gt;=0,AF95,"")</f>
        <v>26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hassan abdallah</dc:creator>
  <cp:keywords/>
  <dc:description/>
  <cp:lastModifiedBy>Barbara</cp:lastModifiedBy>
  <cp:lastPrinted>2013-03-31T23:13:28Z</cp:lastPrinted>
  <dcterms:created xsi:type="dcterms:W3CDTF">2002-12-03T10:08:59Z</dcterms:created>
  <dcterms:modified xsi:type="dcterms:W3CDTF">2014-12-09T19:01:32Z</dcterms:modified>
  <cp:category/>
  <cp:version/>
  <cp:contentType/>
  <cp:contentStatus/>
</cp:coreProperties>
</file>